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21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2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2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24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25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26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27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28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PRFUK\sys\UsersSTUD\odchazet\Dokumenty\2. moje\kolo\"/>
    </mc:Choice>
  </mc:AlternateContent>
  <xr:revisionPtr revIDLastSave="0" documentId="13_ncr:1_{D8BA441C-08D5-4138-BB79-266958BB2C3B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Grafy" sheetId="9" r:id="rId1"/>
    <sheet name="Statistiky" sheetId="3" r:id="rId2"/>
    <sheet name="2025" sheetId="23" r:id="rId3"/>
    <sheet name="2024" sheetId="21" r:id="rId4"/>
    <sheet name="2023" sheetId="20" r:id="rId5"/>
    <sheet name="2022" sheetId="19" r:id="rId6"/>
    <sheet name="2021" sheetId="18" r:id="rId7"/>
    <sheet name="2020" sheetId="17" r:id="rId8"/>
    <sheet name="2019" sheetId="16" r:id="rId9"/>
    <sheet name="2018" sheetId="13" r:id="rId10"/>
    <sheet name="2017" sheetId="11" r:id="rId11"/>
    <sheet name="2016" sheetId="8" r:id="rId12"/>
    <sheet name="2015" sheetId="7" r:id="rId13"/>
    <sheet name="2014" sheetId="1" r:id="rId14"/>
    <sheet name="2013" sheetId="6" r:id="rId15"/>
    <sheet name="2012" sheetId="4" r:id="rId16"/>
    <sheet name="2011" sheetId="5" r:id="rId17"/>
    <sheet name="Ztracené kobylky" sheetId="12" r:id="rId18"/>
    <sheet name="Zlaťák" sheetId="15" r:id="rId19"/>
    <sheet name="Srovnání červencových cest" sheetId="14" r:id="rId20"/>
    <sheet name="Moje kolo" sheetId="22" r:id="rId21"/>
  </sheets>
  <definedNames>
    <definedName name="_xlnm._FilterDatabase" localSheetId="11" hidden="1">'2016'!$A$1:$G$66</definedName>
    <definedName name="_xlnm._FilterDatabase" localSheetId="10" hidden="1">'2017'!$A$1:$G$66</definedName>
    <definedName name="_xlnm._FilterDatabase" localSheetId="9" hidden="1">'2018'!$A$1:$G$111</definedName>
    <definedName name="_xlnm._FilterDatabase" localSheetId="8" hidden="1">'2019'!$A$1:$G$112</definedName>
    <definedName name="_xlnm._FilterDatabase" localSheetId="7" hidden="1">'2020'!$A$1:$G$114</definedName>
    <definedName name="_xlnm._FilterDatabase" localSheetId="6" hidden="1">'2021'!$A$1:$G$1</definedName>
    <definedName name="_xlnm._FilterDatabase" localSheetId="5" hidden="1">'2022'!$A$1:$G$1</definedName>
    <definedName name="_xlnm._FilterDatabase" localSheetId="4" hidden="1">'2023'!$A$1:$G$1</definedName>
    <definedName name="_xlnm._FilterDatabase" localSheetId="3" hidden="1">'2024'!$A$1:$G$1</definedName>
    <definedName name="_xlnm._FilterDatabase" localSheetId="2" hidden="1">'2025'!$A$1:$G$1</definedName>
    <definedName name="_xlnm._FilterDatabase" localSheetId="1" hidden="1">Statistiky!$T$2:$V$31</definedName>
  </definedNames>
  <calcPr calcId="191029"/>
</workbook>
</file>

<file path=xl/calcChain.xml><?xml version="1.0" encoding="utf-8"?>
<calcChain xmlns="http://schemas.openxmlformats.org/spreadsheetml/2006/main">
  <c r="R10" i="3" l="1"/>
  <c r="N17" i="3"/>
  <c r="D148" i="23"/>
  <c r="M3" i="12" l="1"/>
  <c r="M2" i="12"/>
  <c r="N16" i="3"/>
  <c r="C169" i="23" l="1"/>
  <c r="C165" i="23"/>
  <c r="C170" i="23"/>
  <c r="L13" i="14" l="1"/>
  <c r="L12" i="14"/>
  <c r="L11" i="14"/>
  <c r="H3" i="14"/>
  <c r="W7" i="3" l="1"/>
  <c r="W14" i="3"/>
  <c r="O16" i="3" l="1"/>
  <c r="L16" i="3"/>
  <c r="J16" i="3"/>
  <c r="I16" i="3"/>
  <c r="H16" i="3"/>
  <c r="G16" i="3"/>
  <c r="F16" i="3"/>
  <c r="E16" i="3"/>
  <c r="D16" i="3"/>
  <c r="C16" i="3"/>
  <c r="B16" i="3"/>
  <c r="C177" i="21"/>
  <c r="C176" i="21"/>
  <c r="C175" i="21"/>
  <c r="C174" i="21"/>
  <c r="C173" i="21"/>
  <c r="C172" i="21"/>
  <c r="C171" i="21"/>
  <c r="C170" i="21"/>
  <c r="C169" i="21"/>
  <c r="C168" i="21"/>
  <c r="C167" i="21"/>
  <c r="C143" i="23"/>
  <c r="C175" i="23"/>
  <c r="C174" i="23"/>
  <c r="C173" i="23"/>
  <c r="C172" i="23"/>
  <c r="C171" i="23"/>
  <c r="C168" i="23"/>
  <c r="C167" i="23"/>
  <c r="C166" i="23"/>
  <c r="C164" i="23"/>
  <c r="H161" i="23"/>
  <c r="G139" i="23" s="1"/>
  <c r="K17" i="3" s="1"/>
  <c r="G161" i="23"/>
  <c r="I17" i="3" s="1"/>
  <c r="I18" i="3" s="1"/>
  <c r="F161" i="23"/>
  <c r="E139" i="23" s="1"/>
  <c r="E17" i="3" s="1"/>
  <c r="E161" i="23"/>
  <c r="C161" i="23"/>
  <c r="C160" i="23"/>
  <c r="C159" i="23"/>
  <c r="H154" i="23"/>
  <c r="G154" i="23"/>
  <c r="F154" i="23"/>
  <c r="E154" i="23"/>
  <c r="D154" i="23"/>
  <c r="C154" i="23"/>
  <c r="H153" i="23"/>
  <c r="G153" i="23"/>
  <c r="F153" i="23"/>
  <c r="E153" i="23"/>
  <c r="D153" i="23"/>
  <c r="C153" i="23"/>
  <c r="H152" i="23"/>
  <c r="G152" i="23"/>
  <c r="F152" i="23"/>
  <c r="E152" i="23"/>
  <c r="D152" i="23"/>
  <c r="C152" i="23"/>
  <c r="H151" i="23"/>
  <c r="G151" i="23"/>
  <c r="F151" i="23"/>
  <c r="E151" i="23"/>
  <c r="D151" i="23"/>
  <c r="C151" i="23"/>
  <c r="H150" i="23"/>
  <c r="G150" i="23"/>
  <c r="F150" i="23"/>
  <c r="E150" i="23"/>
  <c r="D150" i="23"/>
  <c r="C150" i="23"/>
  <c r="H149" i="23"/>
  <c r="G149" i="23"/>
  <c r="F149" i="23"/>
  <c r="E149" i="23"/>
  <c r="D149" i="23"/>
  <c r="C149" i="23"/>
  <c r="H148" i="23"/>
  <c r="G148" i="23"/>
  <c r="F148" i="23"/>
  <c r="E148" i="23"/>
  <c r="C148" i="23"/>
  <c r="H147" i="23"/>
  <c r="G147" i="23"/>
  <c r="F147" i="23"/>
  <c r="E147" i="23"/>
  <c r="D147" i="23"/>
  <c r="C147" i="23"/>
  <c r="H146" i="23"/>
  <c r="G146" i="23"/>
  <c r="F146" i="23"/>
  <c r="E146" i="23"/>
  <c r="D146" i="23"/>
  <c r="C146" i="23"/>
  <c r="H145" i="23"/>
  <c r="G145" i="23"/>
  <c r="F145" i="23"/>
  <c r="E145" i="23"/>
  <c r="D145" i="23"/>
  <c r="C145" i="23"/>
  <c r="H144" i="23"/>
  <c r="G144" i="23"/>
  <c r="F144" i="23"/>
  <c r="E144" i="23"/>
  <c r="D144" i="23"/>
  <c r="C144" i="23"/>
  <c r="H143" i="23"/>
  <c r="G143" i="23"/>
  <c r="F143" i="23"/>
  <c r="E143" i="23"/>
  <c r="D143" i="23"/>
  <c r="I139" i="23"/>
  <c r="F139" i="23"/>
  <c r="H17" i="3" s="1"/>
  <c r="L17" i="3" l="1"/>
  <c r="L18" i="3" s="1"/>
  <c r="K18" i="3"/>
  <c r="H18" i="3"/>
  <c r="J17" i="3"/>
  <c r="J18" i="3" s="1"/>
  <c r="E18" i="3"/>
  <c r="F17" i="3"/>
  <c r="F18" i="3" s="1"/>
  <c r="C176" i="23"/>
  <c r="F155" i="23"/>
  <c r="G155" i="23"/>
  <c r="C155" i="23"/>
  <c r="D155" i="23"/>
  <c r="H155" i="23"/>
  <c r="E155" i="23"/>
  <c r="F141" i="21"/>
  <c r="N18" i="3" l="1"/>
  <c r="M17" i="3"/>
  <c r="M18" i="3" s="1"/>
  <c r="R8" i="3" s="1"/>
  <c r="R7" i="3" s="1"/>
  <c r="G17" i="3"/>
  <c r="G18" i="3" s="1"/>
  <c r="I140" i="23"/>
  <c r="O17" i="3" s="1"/>
  <c r="O18" i="3" s="1"/>
  <c r="D139" i="23"/>
  <c r="B17" i="3" s="1"/>
  <c r="C17" i="3"/>
  <c r="C18" i="3" s="1"/>
  <c r="L5" i="12"/>
  <c r="L4" i="12"/>
  <c r="L3" i="12"/>
  <c r="L2" i="12"/>
  <c r="B18" i="3" l="1"/>
  <c r="D17" i="3"/>
  <c r="I141" i="21"/>
  <c r="O15" i="3"/>
  <c r="D18" i="3" l="1"/>
  <c r="R9" i="3" s="1"/>
  <c r="W16" i="3"/>
  <c r="E148" i="21"/>
  <c r="C148" i="21"/>
  <c r="R5" i="3" l="1"/>
  <c r="R4" i="3" s="1"/>
  <c r="M4" i="3"/>
  <c r="M3" i="3"/>
  <c r="G135" i="17"/>
  <c r="G163" i="21"/>
  <c r="E135" i="17"/>
  <c r="E135" i="18"/>
  <c r="E141" i="19"/>
  <c r="E141" i="20"/>
  <c r="F11" i="3"/>
  <c r="E146" i="21" l="1"/>
  <c r="D141" i="20" l="1"/>
  <c r="B15" i="3"/>
  <c r="D141" i="19" l="1"/>
  <c r="G148" i="18"/>
  <c r="G147" i="18"/>
  <c r="G146" i="18"/>
  <c r="G142" i="18"/>
  <c r="G143" i="18"/>
  <c r="B12" i="3"/>
  <c r="C151" i="18"/>
  <c r="D135" i="18"/>
  <c r="D135" i="17"/>
  <c r="B11" i="3"/>
  <c r="L15" i="3"/>
  <c r="I15" i="3"/>
  <c r="F15" i="3"/>
  <c r="L13" i="3"/>
  <c r="I13" i="3"/>
  <c r="F13" i="3"/>
  <c r="L14" i="3"/>
  <c r="I14" i="3"/>
  <c r="F14" i="3"/>
  <c r="O5" i="19"/>
  <c r="N5" i="19"/>
  <c r="M5" i="19"/>
  <c r="L6" i="18"/>
  <c r="L5" i="19"/>
  <c r="F12" i="3"/>
  <c r="C15" i="3"/>
  <c r="D15" i="3" s="1"/>
  <c r="W3" i="3" s="1"/>
  <c r="C14" i="3"/>
  <c r="B8" i="3" l="1"/>
  <c r="W11" i="3" l="1"/>
  <c r="D8" i="3"/>
  <c r="H15" i="3"/>
  <c r="J15" i="3" s="1"/>
  <c r="N15" i="3"/>
  <c r="K15" i="3"/>
  <c r="M15" i="3" s="1"/>
  <c r="C166" i="21"/>
  <c r="H163" i="21"/>
  <c r="G141" i="21" s="1"/>
  <c r="F163" i="21"/>
  <c r="E163" i="21"/>
  <c r="C163" i="21"/>
  <c r="C162" i="21"/>
  <c r="C161" i="21"/>
  <c r="H156" i="21"/>
  <c r="G156" i="21"/>
  <c r="F156" i="21"/>
  <c r="E156" i="21"/>
  <c r="D156" i="21"/>
  <c r="C156" i="21"/>
  <c r="H155" i="21"/>
  <c r="G155" i="21"/>
  <c r="F155" i="21"/>
  <c r="E155" i="21"/>
  <c r="D155" i="21"/>
  <c r="C155" i="21"/>
  <c r="H154" i="21"/>
  <c r="G154" i="21"/>
  <c r="F154" i="21"/>
  <c r="E154" i="21"/>
  <c r="D154" i="21"/>
  <c r="C154" i="21"/>
  <c r="H153" i="21"/>
  <c r="G153" i="21"/>
  <c r="F153" i="21"/>
  <c r="E153" i="21"/>
  <c r="D153" i="21"/>
  <c r="C153" i="21"/>
  <c r="H152" i="21"/>
  <c r="G152" i="21"/>
  <c r="F152" i="21"/>
  <c r="E152" i="21"/>
  <c r="D152" i="21"/>
  <c r="C152" i="21"/>
  <c r="H151" i="21"/>
  <c r="G151" i="21"/>
  <c r="F151" i="21"/>
  <c r="E151" i="21"/>
  <c r="D151" i="21"/>
  <c r="C151" i="21"/>
  <c r="H150" i="21"/>
  <c r="G150" i="21"/>
  <c r="F150" i="21"/>
  <c r="E150" i="21"/>
  <c r="D150" i="21"/>
  <c r="C150" i="21"/>
  <c r="H149" i="21"/>
  <c r="G149" i="21"/>
  <c r="F149" i="21"/>
  <c r="E149" i="21"/>
  <c r="D149" i="21"/>
  <c r="C149" i="21"/>
  <c r="H148" i="21"/>
  <c r="G148" i="21"/>
  <c r="F148" i="21"/>
  <c r="D148" i="21"/>
  <c r="H147" i="21"/>
  <c r="G147" i="21"/>
  <c r="F147" i="21"/>
  <c r="E147" i="21"/>
  <c r="D147" i="21"/>
  <c r="C147" i="21"/>
  <c r="H146" i="21"/>
  <c r="G146" i="21"/>
  <c r="F146" i="21"/>
  <c r="D146" i="21"/>
  <c r="C146" i="21"/>
  <c r="H145" i="21"/>
  <c r="G145" i="21"/>
  <c r="F145" i="21"/>
  <c r="E145" i="21"/>
  <c r="D145" i="21"/>
  <c r="C145" i="21"/>
  <c r="E141" i="21" l="1"/>
  <c r="K16" i="3"/>
  <c r="C178" i="21"/>
  <c r="E157" i="21"/>
  <c r="F157" i="21"/>
  <c r="C157" i="21"/>
  <c r="I142" i="21" s="1"/>
  <c r="G157" i="21"/>
  <c r="D157" i="21"/>
  <c r="H157" i="21"/>
  <c r="C155" i="20"/>
  <c r="M16" i="3" l="1"/>
  <c r="D141" i="21"/>
  <c r="D154" i="20"/>
  <c r="C166" i="20"/>
  <c r="K13" i="14" l="1"/>
  <c r="K12" i="14"/>
  <c r="K11" i="14"/>
  <c r="J11" i="14"/>
  <c r="J13" i="14"/>
  <c r="J12" i="14"/>
  <c r="F141" i="20" l="1"/>
  <c r="I141" i="20" l="1"/>
  <c r="I141" i="19"/>
  <c r="I142" i="19" s="1"/>
  <c r="C177" i="20"/>
  <c r="C176" i="20"/>
  <c r="C175" i="20"/>
  <c r="C174" i="20"/>
  <c r="C173" i="20"/>
  <c r="C172" i="20"/>
  <c r="C171" i="20"/>
  <c r="C170" i="20"/>
  <c r="C169" i="20"/>
  <c r="C168" i="20"/>
  <c r="C167" i="20"/>
  <c r="H163" i="20"/>
  <c r="G141" i="20" s="1"/>
  <c r="G163" i="20"/>
  <c r="F163" i="20"/>
  <c r="E163" i="20"/>
  <c r="C163" i="20"/>
  <c r="C162" i="20"/>
  <c r="C161" i="20"/>
  <c r="H156" i="20"/>
  <c r="G156" i="20"/>
  <c r="F156" i="20"/>
  <c r="E156" i="20"/>
  <c r="D156" i="20"/>
  <c r="C156" i="20"/>
  <c r="H155" i="20"/>
  <c r="G155" i="20"/>
  <c r="F155" i="20"/>
  <c r="E155" i="20"/>
  <c r="D155" i="20"/>
  <c r="H154" i="20"/>
  <c r="G154" i="20"/>
  <c r="F154" i="20"/>
  <c r="E154" i="20"/>
  <c r="C154" i="20"/>
  <c r="H153" i="20"/>
  <c r="G153" i="20"/>
  <c r="F153" i="20"/>
  <c r="E153" i="20"/>
  <c r="D153" i="20"/>
  <c r="C153" i="20"/>
  <c r="H152" i="20"/>
  <c r="G152" i="20"/>
  <c r="F152" i="20"/>
  <c r="E152" i="20"/>
  <c r="D152" i="20"/>
  <c r="C152" i="20"/>
  <c r="H151" i="20"/>
  <c r="G151" i="20"/>
  <c r="F151" i="20"/>
  <c r="E151" i="20"/>
  <c r="D151" i="20"/>
  <c r="C151" i="20"/>
  <c r="H150" i="20"/>
  <c r="G150" i="20"/>
  <c r="F150" i="20"/>
  <c r="E150" i="20"/>
  <c r="D150" i="20"/>
  <c r="C150" i="20"/>
  <c r="H149" i="20"/>
  <c r="G149" i="20"/>
  <c r="F149" i="20"/>
  <c r="E149" i="20"/>
  <c r="D149" i="20"/>
  <c r="C149" i="20"/>
  <c r="H148" i="20"/>
  <c r="G148" i="20"/>
  <c r="F148" i="20"/>
  <c r="E148" i="20"/>
  <c r="D148" i="20"/>
  <c r="C148" i="20"/>
  <c r="H147" i="20"/>
  <c r="G147" i="20"/>
  <c r="F147" i="20"/>
  <c r="E147" i="20"/>
  <c r="D147" i="20"/>
  <c r="C147" i="20"/>
  <c r="H146" i="20"/>
  <c r="G146" i="20"/>
  <c r="F146" i="20"/>
  <c r="E146" i="20"/>
  <c r="D146" i="20"/>
  <c r="C146" i="20"/>
  <c r="H145" i="20"/>
  <c r="G145" i="20"/>
  <c r="F145" i="20"/>
  <c r="E145" i="20"/>
  <c r="D145" i="20"/>
  <c r="C145" i="20"/>
  <c r="E15" i="3"/>
  <c r="G15" i="3" s="1"/>
  <c r="C178" i="20" l="1"/>
  <c r="F157" i="20"/>
  <c r="E157" i="20"/>
  <c r="G157" i="20"/>
  <c r="I142" i="20"/>
  <c r="C157" i="20"/>
  <c r="D157" i="20"/>
  <c r="H157" i="20"/>
  <c r="K6" i="18" l="1"/>
  <c r="G145" i="18"/>
  <c r="G144" i="18"/>
  <c r="G148" i="19"/>
  <c r="E148" i="19" l="1"/>
  <c r="E149" i="19"/>
  <c r="E150" i="19"/>
  <c r="E151" i="19"/>
  <c r="E152" i="19"/>
  <c r="E153" i="19"/>
  <c r="E154" i="19"/>
  <c r="E155" i="19"/>
  <c r="E156" i="19"/>
  <c r="E147" i="19"/>
  <c r="E146" i="19"/>
  <c r="C147" i="19"/>
  <c r="G147" i="19"/>
  <c r="G149" i="19"/>
  <c r="G150" i="19"/>
  <c r="G151" i="19"/>
  <c r="G152" i="19"/>
  <c r="G153" i="19"/>
  <c r="G154" i="19"/>
  <c r="G155" i="19"/>
  <c r="G156" i="19"/>
  <c r="G145" i="19"/>
  <c r="H145" i="19"/>
  <c r="F145" i="19"/>
  <c r="E145" i="19"/>
  <c r="C146" i="19"/>
  <c r="F146" i="19"/>
  <c r="I11" i="14" l="1"/>
  <c r="I135" i="18"/>
  <c r="I136" i="18" s="1"/>
  <c r="N13" i="3"/>
  <c r="C161" i="19"/>
  <c r="H147" i="19"/>
  <c r="H148" i="19"/>
  <c r="H149" i="19"/>
  <c r="H150" i="19"/>
  <c r="H151" i="19"/>
  <c r="H152" i="19"/>
  <c r="H153" i="19"/>
  <c r="H154" i="19"/>
  <c r="H155" i="19"/>
  <c r="H156" i="19"/>
  <c r="H146" i="19"/>
  <c r="F147" i="19"/>
  <c r="F148" i="19"/>
  <c r="F149" i="19"/>
  <c r="F150" i="19"/>
  <c r="F151" i="19"/>
  <c r="F152" i="19"/>
  <c r="F153" i="19"/>
  <c r="F154" i="19"/>
  <c r="F155" i="19"/>
  <c r="F156" i="19"/>
  <c r="G146" i="19"/>
  <c r="D147" i="19"/>
  <c r="D146" i="19"/>
  <c r="D145" i="19"/>
  <c r="D148" i="19"/>
  <c r="D149" i="19"/>
  <c r="D150" i="19"/>
  <c r="D151" i="19"/>
  <c r="D152" i="19"/>
  <c r="D153" i="19"/>
  <c r="D154" i="19"/>
  <c r="D155" i="19"/>
  <c r="D156" i="19"/>
  <c r="C148" i="19"/>
  <c r="C149" i="19"/>
  <c r="C150" i="19"/>
  <c r="C151" i="19"/>
  <c r="C152" i="19"/>
  <c r="C153" i="19"/>
  <c r="C154" i="19"/>
  <c r="C155" i="19"/>
  <c r="C156" i="19"/>
  <c r="C145" i="19"/>
  <c r="C177" i="19"/>
  <c r="C176" i="19"/>
  <c r="C175" i="19"/>
  <c r="C174" i="19"/>
  <c r="C173" i="19"/>
  <c r="C172" i="19"/>
  <c r="C171" i="19"/>
  <c r="C170" i="19"/>
  <c r="C169" i="19"/>
  <c r="C168" i="19"/>
  <c r="C167" i="19"/>
  <c r="C166" i="19"/>
  <c r="C163" i="19"/>
  <c r="C162" i="19"/>
  <c r="F141" i="19"/>
  <c r="H14" i="3" s="1"/>
  <c r="J14" i="3" s="1"/>
  <c r="E14" i="3"/>
  <c r="G14" i="3" s="1"/>
  <c r="H163" i="19"/>
  <c r="G141" i="19" s="1"/>
  <c r="K14" i="3" s="1"/>
  <c r="M14" i="3" s="1"/>
  <c r="G163" i="19"/>
  <c r="F163" i="19"/>
  <c r="E163" i="19"/>
  <c r="B14" i="3" l="1"/>
  <c r="O14" i="3"/>
  <c r="C178" i="19"/>
  <c r="C157" i="19"/>
  <c r="D157" i="19"/>
  <c r="G157" i="19"/>
  <c r="H157" i="19"/>
  <c r="E157" i="19"/>
  <c r="F157" i="19"/>
  <c r="F135" i="18"/>
  <c r="F135" i="17"/>
  <c r="C157" i="17"/>
  <c r="C156" i="17"/>
  <c r="C155" i="17"/>
  <c r="C157" i="18"/>
  <c r="C156" i="18"/>
  <c r="C155" i="18"/>
  <c r="D14" i="3" l="1"/>
  <c r="W6" i="3" s="1"/>
  <c r="N14" i="3"/>
  <c r="J50" i="18"/>
  <c r="I13" i="14" l="1"/>
  <c r="I12" i="14"/>
  <c r="C168" i="18" l="1"/>
  <c r="H150" i="18"/>
  <c r="H149" i="18"/>
  <c r="H148" i="18"/>
  <c r="H147" i="18"/>
  <c r="H146" i="18"/>
  <c r="H145" i="18"/>
  <c r="H144" i="18"/>
  <c r="H143" i="18"/>
  <c r="F150" i="18"/>
  <c r="F149" i="18"/>
  <c r="F148" i="18"/>
  <c r="F147" i="18"/>
  <c r="F146" i="18"/>
  <c r="F145" i="18"/>
  <c r="F144" i="18"/>
  <c r="F143" i="18"/>
  <c r="F142" i="18"/>
  <c r="E150" i="18"/>
  <c r="E149" i="18"/>
  <c r="E148" i="18"/>
  <c r="E147" i="18"/>
  <c r="E146" i="18"/>
  <c r="E145" i="18"/>
  <c r="E144" i="18"/>
  <c r="E143" i="18"/>
  <c r="E142" i="18"/>
  <c r="E140" i="18"/>
  <c r="E139" i="18"/>
  <c r="G141" i="18"/>
  <c r="H13" i="3" l="1"/>
  <c r="J13" i="3" s="1"/>
  <c r="C141" i="18" l="1"/>
  <c r="G139" i="18"/>
  <c r="D150" i="18"/>
  <c r="D149" i="18"/>
  <c r="D148" i="18"/>
  <c r="D147" i="18"/>
  <c r="D146" i="18"/>
  <c r="D145" i="18"/>
  <c r="D144" i="18"/>
  <c r="D143" i="18"/>
  <c r="D142" i="18"/>
  <c r="C150" i="18"/>
  <c r="C149" i="18"/>
  <c r="C148" i="18"/>
  <c r="C147" i="18"/>
  <c r="C146" i="18"/>
  <c r="C145" i="18"/>
  <c r="C144" i="18"/>
  <c r="C139" i="18"/>
  <c r="C140" i="18"/>
  <c r="C142" i="18"/>
  <c r="C143" i="18"/>
  <c r="F139" i="18" l="1"/>
  <c r="D140" i="18"/>
  <c r="F141" i="18"/>
  <c r="E141" i="18"/>
  <c r="D141" i="18"/>
  <c r="D139" i="18"/>
  <c r="C171" i="18"/>
  <c r="C170" i="18"/>
  <c r="C169" i="18"/>
  <c r="C167" i="18"/>
  <c r="C166" i="18"/>
  <c r="C165" i="18"/>
  <c r="C164" i="18"/>
  <c r="C163" i="18"/>
  <c r="C162" i="18"/>
  <c r="C161" i="18"/>
  <c r="C160" i="18"/>
  <c r="G150" i="18"/>
  <c r="G149" i="18"/>
  <c r="H142" i="18"/>
  <c r="H141" i="18"/>
  <c r="H140" i="18"/>
  <c r="G140" i="18"/>
  <c r="F140" i="18"/>
  <c r="H139" i="18"/>
  <c r="N6" i="18"/>
  <c r="G135" i="18" s="1"/>
  <c r="M6" i="18"/>
  <c r="K13" i="3" l="1"/>
  <c r="M13" i="3" s="1"/>
  <c r="E13" i="3"/>
  <c r="G13" i="3" s="1"/>
  <c r="B13" i="3"/>
  <c r="C172" i="18"/>
  <c r="E151" i="18"/>
  <c r="F151" i="18"/>
  <c r="G151" i="18"/>
  <c r="C13" i="3" s="1"/>
  <c r="H151" i="18"/>
  <c r="D151" i="18"/>
  <c r="E3" i="3"/>
  <c r="G3" i="3" s="1"/>
  <c r="D13" i="3" l="1"/>
  <c r="W10" i="3" s="1"/>
  <c r="O13" i="3"/>
  <c r="C171" i="16"/>
  <c r="C98" i="11"/>
  <c r="C96" i="11"/>
  <c r="C94" i="11"/>
  <c r="D78" i="11"/>
  <c r="C78" i="11"/>
  <c r="B102" i="1" l="1"/>
  <c r="B100" i="1"/>
  <c r="B97" i="1"/>
  <c r="B91" i="1"/>
  <c r="B101" i="1"/>
  <c r="B99" i="1"/>
  <c r="B98" i="1"/>
  <c r="B96" i="1"/>
  <c r="B95" i="1"/>
  <c r="B94" i="1"/>
  <c r="B93" i="1"/>
  <c r="B92" i="1"/>
  <c r="B100" i="7"/>
  <c r="B99" i="7"/>
  <c r="B98" i="7"/>
  <c r="B97" i="7"/>
  <c r="B96" i="7"/>
  <c r="B94" i="7"/>
  <c r="B95" i="7"/>
  <c r="B93" i="7"/>
  <c r="B92" i="7"/>
  <c r="B91" i="7"/>
  <c r="B90" i="7"/>
  <c r="B89" i="7"/>
  <c r="C80" i="7"/>
  <c r="C104" i="8"/>
  <c r="C103" i="8"/>
  <c r="C102" i="8"/>
  <c r="C101" i="8"/>
  <c r="C100" i="8"/>
  <c r="C99" i="8"/>
  <c r="C98" i="8"/>
  <c r="C97" i="8"/>
  <c r="C96" i="8"/>
  <c r="C95" i="8"/>
  <c r="C94" i="8"/>
  <c r="C93" i="8"/>
  <c r="C105" i="8" s="1"/>
  <c r="D124" i="13"/>
  <c r="D128" i="13" s="1"/>
  <c r="C150" i="13"/>
  <c r="C138" i="13"/>
  <c r="C149" i="13"/>
  <c r="C148" i="13"/>
  <c r="C147" i="13"/>
  <c r="C146" i="13"/>
  <c r="C145" i="13"/>
  <c r="C144" i="13"/>
  <c r="C143" i="13"/>
  <c r="C142" i="13"/>
  <c r="C141" i="13"/>
  <c r="C140" i="13"/>
  <c r="C139" i="13"/>
  <c r="C161" i="16"/>
  <c r="C160" i="16"/>
  <c r="C159" i="16"/>
  <c r="C170" i="16"/>
  <c r="C169" i="16"/>
  <c r="C168" i="16"/>
  <c r="C167" i="16"/>
  <c r="C166" i="16"/>
  <c r="C165" i="16"/>
  <c r="C164" i="16"/>
  <c r="C163" i="16"/>
  <c r="C162" i="16"/>
  <c r="H147" i="17"/>
  <c r="C146" i="17"/>
  <c r="C147" i="17"/>
  <c r="G147" i="17"/>
  <c r="G148" i="17"/>
  <c r="F147" i="17"/>
  <c r="C160" i="17"/>
  <c r="D147" i="17"/>
  <c r="D146" i="17"/>
  <c r="C170" i="17"/>
  <c r="C171" i="17"/>
  <c r="C169" i="17"/>
  <c r="C168" i="17"/>
  <c r="C167" i="17"/>
  <c r="C166" i="17"/>
  <c r="C165" i="17"/>
  <c r="C161" i="17"/>
  <c r="C164" i="17"/>
  <c r="C163" i="17"/>
  <c r="C162" i="17"/>
  <c r="D148" i="17"/>
  <c r="C148" i="17"/>
  <c r="D139" i="17"/>
  <c r="C172" i="17" l="1"/>
  <c r="B103" i="1"/>
  <c r="B101" i="7"/>
  <c r="C144" i="17" l="1"/>
  <c r="H5" i="14" l="1"/>
  <c r="G13" i="14" l="1"/>
  <c r="G11" i="14"/>
  <c r="G12" i="14"/>
  <c r="H11" i="14"/>
  <c r="H13" i="14"/>
  <c r="H6" i="14"/>
  <c r="H4" i="14"/>
  <c r="H12" i="14" s="1"/>
  <c r="F3" i="14"/>
  <c r="D93" i="16" l="1"/>
  <c r="H57" i="16" l="1"/>
  <c r="C133" i="13" l="1"/>
  <c r="C155" i="16"/>
  <c r="C154" i="16"/>
  <c r="H12" i="3" l="1"/>
  <c r="I135" i="17" l="1"/>
  <c r="G139" i="17" l="1"/>
  <c r="H150" i="17" l="1"/>
  <c r="H149" i="17"/>
  <c r="H148" i="17"/>
  <c r="H146" i="17"/>
  <c r="H145" i="17"/>
  <c r="H144" i="17"/>
  <c r="H143" i="17"/>
  <c r="H142" i="17"/>
  <c r="H140" i="17"/>
  <c r="G150" i="17"/>
  <c r="G149" i="17"/>
  <c r="G146" i="17"/>
  <c r="G145" i="17"/>
  <c r="G144" i="17"/>
  <c r="G143" i="17"/>
  <c r="G142" i="17"/>
  <c r="G141" i="17"/>
  <c r="F150" i="17"/>
  <c r="F149" i="17"/>
  <c r="F148" i="17"/>
  <c r="F145" i="17"/>
  <c r="F146" i="17"/>
  <c r="F144" i="17"/>
  <c r="F143" i="17"/>
  <c r="F142" i="17"/>
  <c r="F141" i="17"/>
  <c r="E150" i="17"/>
  <c r="E149" i="17"/>
  <c r="E148" i="17"/>
  <c r="E147" i="17"/>
  <c r="E146" i="17"/>
  <c r="E145" i="17"/>
  <c r="E144" i="17"/>
  <c r="E143" i="17"/>
  <c r="E142" i="17"/>
  <c r="E141" i="17"/>
  <c r="E140" i="17"/>
  <c r="D150" i="17"/>
  <c r="D149" i="17"/>
  <c r="D145" i="17"/>
  <c r="D144" i="17"/>
  <c r="D143" i="17"/>
  <c r="D142" i="17"/>
  <c r="D141" i="17"/>
  <c r="D140" i="17"/>
  <c r="C150" i="17"/>
  <c r="C149" i="17"/>
  <c r="C151" i="17" s="1"/>
  <c r="C145" i="17"/>
  <c r="C143" i="17"/>
  <c r="C142" i="17"/>
  <c r="C141" i="17"/>
  <c r="H141" i="17"/>
  <c r="G140" i="17"/>
  <c r="F140" i="17"/>
  <c r="C140" i="17"/>
  <c r="H139" i="17"/>
  <c r="F139" i="17"/>
  <c r="E139" i="17"/>
  <c r="C139" i="17"/>
  <c r="K6" i="17"/>
  <c r="C12" i="3" l="1"/>
  <c r="D12" i="3" s="1"/>
  <c r="W2" i="3" s="1"/>
  <c r="M6" i="17"/>
  <c r="D151" i="17"/>
  <c r="F151" i="17"/>
  <c r="H151" i="17"/>
  <c r="L6" i="17"/>
  <c r="N6" i="17"/>
  <c r="H148" i="16"/>
  <c r="F148" i="16"/>
  <c r="D148" i="16"/>
  <c r="C148" i="16"/>
  <c r="C147" i="16"/>
  <c r="H147" i="16"/>
  <c r="F147" i="16"/>
  <c r="F146" i="16"/>
  <c r="C146" i="16"/>
  <c r="I133" i="16"/>
  <c r="D147" i="16"/>
  <c r="H146" i="16"/>
  <c r="F145" i="16"/>
  <c r="D146" i="16"/>
  <c r="I12" i="3" l="1"/>
  <c r="J12" i="3" s="1"/>
  <c r="N12" i="3"/>
  <c r="K12" i="3"/>
  <c r="L12" i="3"/>
  <c r="E12" i="3"/>
  <c r="G12" i="3" s="1"/>
  <c r="I136" i="17"/>
  <c r="O12" i="3" s="1"/>
  <c r="E151" i="17"/>
  <c r="G151" i="17"/>
  <c r="C144" i="16"/>
  <c r="C145" i="16"/>
  <c r="M12" i="3" l="1"/>
  <c r="G148" i="16"/>
  <c r="E148" i="16"/>
  <c r="E146" i="16"/>
  <c r="G147" i="16"/>
  <c r="E147" i="16"/>
  <c r="F133" i="16"/>
  <c r="G146" i="16"/>
  <c r="M6" i="16"/>
  <c r="K6" i="16"/>
  <c r="N6" i="16"/>
  <c r="G133" i="16" s="1"/>
  <c r="L6" i="16"/>
  <c r="E133" i="16" s="1"/>
  <c r="E143" i="16"/>
  <c r="D143" i="16"/>
  <c r="C143" i="16"/>
  <c r="D133" i="16" l="1"/>
  <c r="C11" i="3"/>
  <c r="F6" i="14"/>
  <c r="F4" i="14"/>
  <c r="D11" i="3" l="1"/>
  <c r="W5" i="3" s="1"/>
  <c r="H145" i="16"/>
  <c r="H144" i="16"/>
  <c r="H143" i="16"/>
  <c r="H142" i="16"/>
  <c r="H141" i="16"/>
  <c r="H140" i="16"/>
  <c r="H139" i="16"/>
  <c r="H138" i="16"/>
  <c r="H137" i="16"/>
  <c r="F137" i="16"/>
  <c r="F138" i="16"/>
  <c r="G145" i="16"/>
  <c r="G144" i="16"/>
  <c r="G143" i="16"/>
  <c r="F144" i="16"/>
  <c r="F143" i="16"/>
  <c r="F142" i="16"/>
  <c r="F141" i="16"/>
  <c r="F140" i="16"/>
  <c r="F139" i="16"/>
  <c r="E145" i="16"/>
  <c r="E144" i="16"/>
  <c r="G142" i="16"/>
  <c r="E142" i="16"/>
  <c r="G141" i="16"/>
  <c r="G140" i="16"/>
  <c r="G139" i="16"/>
  <c r="G138" i="16"/>
  <c r="E138" i="16"/>
  <c r="G137" i="16"/>
  <c r="E137" i="16"/>
  <c r="E141" i="16"/>
  <c r="E140" i="16"/>
  <c r="E139" i="16"/>
  <c r="C153" i="16"/>
  <c r="H149" i="16" l="1"/>
  <c r="E149" i="16"/>
  <c r="G149" i="16"/>
  <c r="F149" i="16"/>
  <c r="H11" i="3"/>
  <c r="I11" i="3"/>
  <c r="C138" i="16"/>
  <c r="J11" i="3" l="1"/>
  <c r="N11" i="3"/>
  <c r="L11" i="3"/>
  <c r="D145" i="16" l="1"/>
  <c r="D144" i="16"/>
  <c r="D142" i="16"/>
  <c r="D141" i="16"/>
  <c r="D140" i="16"/>
  <c r="D139" i="16"/>
  <c r="D138" i="16"/>
  <c r="D137" i="16"/>
  <c r="D149" i="16" s="1"/>
  <c r="C142" i="16"/>
  <c r="C141" i="16"/>
  <c r="C140" i="16"/>
  <c r="C139" i="16"/>
  <c r="C137" i="16"/>
  <c r="K11" i="3"/>
  <c r="M11" i="3" s="1"/>
  <c r="E11" i="3"/>
  <c r="G11" i="3" s="1"/>
  <c r="C149" i="16" l="1"/>
  <c r="I134" i="16"/>
  <c r="O11" i="3" s="1"/>
  <c r="C50" i="4"/>
  <c r="C123" i="13" l="1"/>
  <c r="C132" i="13" l="1"/>
  <c r="D127" i="13"/>
  <c r="D126" i="13"/>
  <c r="D125" i="13"/>
  <c r="C127" i="13"/>
  <c r="C126" i="13"/>
  <c r="C125" i="13"/>
  <c r="C124" i="13"/>
  <c r="C118" i="13"/>
  <c r="C117" i="13"/>
  <c r="C116" i="13"/>
  <c r="I112" i="13"/>
  <c r="G112" i="13"/>
  <c r="F112" i="13"/>
  <c r="E112" i="13"/>
  <c r="D112" i="13"/>
  <c r="C3" i="14" l="1"/>
  <c r="C11" i="14" s="1"/>
  <c r="F11" i="14"/>
  <c r="C4" i="14"/>
  <c r="E4" i="14"/>
  <c r="E12" i="14" s="1"/>
  <c r="F12" i="14"/>
  <c r="C5" i="14"/>
  <c r="C13" i="14" s="1"/>
  <c r="E5" i="14"/>
  <c r="C6" i="14"/>
  <c r="D6" i="14"/>
  <c r="E6" i="14"/>
  <c r="E13" i="14"/>
  <c r="C12" i="14"/>
  <c r="E11" i="14"/>
  <c r="F13" i="14"/>
  <c r="D13" i="14"/>
  <c r="D12" i="14"/>
  <c r="D11" i="14"/>
  <c r="B6" i="14"/>
  <c r="B5" i="14"/>
  <c r="B13" i="14" s="1"/>
  <c r="B4" i="14"/>
  <c r="B12" i="14" s="1"/>
  <c r="B3" i="14"/>
  <c r="B11" i="14" s="1"/>
  <c r="E10" i="3" l="1"/>
  <c r="G10" i="3" s="1"/>
  <c r="D123" i="13" l="1"/>
  <c r="D122" i="13"/>
  <c r="D121" i="13"/>
  <c r="D120" i="13"/>
  <c r="D119" i="13"/>
  <c r="D118" i="13"/>
  <c r="D117" i="13"/>
  <c r="D116" i="13"/>
  <c r="C122" i="13"/>
  <c r="C121" i="13"/>
  <c r="C120" i="13"/>
  <c r="C119" i="13"/>
  <c r="C134" i="13"/>
  <c r="K10" i="3"/>
  <c r="M10" i="3" s="1"/>
  <c r="H10" i="3"/>
  <c r="J10" i="3" s="1"/>
  <c r="I113" i="13"/>
  <c r="O10" i="3" s="1"/>
  <c r="C128" i="13" l="1"/>
  <c r="B10" i="3"/>
  <c r="W4" i="3" s="1"/>
  <c r="K9" i="3"/>
  <c r="M9" i="3" s="1"/>
  <c r="G67" i="11"/>
  <c r="D10" i="3" l="1"/>
  <c r="N10" i="3"/>
  <c r="C88" i="11"/>
  <c r="C87" i="11"/>
  <c r="G7" i="1" l="1"/>
  <c r="D76" i="11" l="1"/>
  <c r="C81" i="1" l="1"/>
  <c r="C80" i="1"/>
  <c r="C79" i="1"/>
  <c r="C78" i="1"/>
  <c r="C77" i="1"/>
  <c r="C76" i="1"/>
  <c r="C75" i="1"/>
  <c r="C74" i="1"/>
  <c r="C73" i="1"/>
  <c r="C72" i="1"/>
  <c r="C71" i="1"/>
  <c r="C70" i="1"/>
  <c r="C79" i="7"/>
  <c r="C78" i="7"/>
  <c r="C77" i="7"/>
  <c r="C76" i="7"/>
  <c r="C75" i="7"/>
  <c r="C74" i="7"/>
  <c r="C73" i="7"/>
  <c r="C72" i="7"/>
  <c r="C71" i="7"/>
  <c r="C70" i="7"/>
  <c r="C69" i="7"/>
  <c r="C68" i="7"/>
  <c r="D80" i="8"/>
  <c r="D78" i="8"/>
  <c r="D79" i="8"/>
  <c r="D82" i="8"/>
  <c r="D81" i="8"/>
  <c r="D77" i="8"/>
  <c r="D76" i="8"/>
  <c r="D75" i="8"/>
  <c r="D74" i="8"/>
  <c r="D73" i="8"/>
  <c r="D72" i="8"/>
  <c r="D71" i="8"/>
  <c r="D82" i="11"/>
  <c r="D81" i="11"/>
  <c r="D80" i="11"/>
  <c r="D79" i="11"/>
  <c r="D77" i="11"/>
  <c r="D74" i="11"/>
  <c r="D73" i="11"/>
  <c r="D72" i="11"/>
  <c r="D71" i="11"/>
  <c r="D75" i="11"/>
  <c r="C74" i="11"/>
  <c r="B9" i="3"/>
  <c r="C88" i="8"/>
  <c r="C72" i="11"/>
  <c r="C71" i="11"/>
  <c r="I67" i="11"/>
  <c r="B87" i="1"/>
  <c r="B86" i="1"/>
  <c r="B85" i="1"/>
  <c r="C87" i="8"/>
  <c r="E67" i="8"/>
  <c r="H8" i="3"/>
  <c r="J8" i="3" s="1"/>
  <c r="F67" i="8"/>
  <c r="D67" i="8"/>
  <c r="I67" i="8"/>
  <c r="C82" i="8"/>
  <c r="C79" i="8"/>
  <c r="B81" i="1"/>
  <c r="B80" i="1"/>
  <c r="B79" i="1"/>
  <c r="B78" i="1"/>
  <c r="B77" i="1"/>
  <c r="B76" i="1"/>
  <c r="B75" i="1"/>
  <c r="B74" i="1"/>
  <c r="B73" i="1"/>
  <c r="B72" i="1"/>
  <c r="B71" i="1"/>
  <c r="B70" i="1"/>
  <c r="B75" i="7"/>
  <c r="B74" i="7"/>
  <c r="B73" i="7"/>
  <c r="B72" i="7"/>
  <c r="B71" i="7"/>
  <c r="B70" i="7"/>
  <c r="B69" i="7"/>
  <c r="B68" i="7"/>
  <c r="C78" i="8"/>
  <c r="C77" i="8"/>
  <c r="C76" i="8"/>
  <c r="C75" i="8"/>
  <c r="C74" i="8"/>
  <c r="C73" i="8"/>
  <c r="C72" i="8"/>
  <c r="C71" i="8"/>
  <c r="L15" i="7"/>
  <c r="H3" i="3"/>
  <c r="T63" i="8"/>
  <c r="E5" i="3"/>
  <c r="G5" i="3" s="1"/>
  <c r="K8" i="3"/>
  <c r="M8" i="3" s="1"/>
  <c r="E8" i="3"/>
  <c r="G8" i="3" s="1"/>
  <c r="K6" i="3"/>
  <c r="M6" i="3" s="1"/>
  <c r="H7" i="3"/>
  <c r="J7" i="3" s="1"/>
  <c r="E7" i="3"/>
  <c r="G7" i="3" s="1"/>
  <c r="E45" i="7"/>
  <c r="B84" i="7" s="1"/>
  <c r="B45" i="7"/>
  <c r="B78" i="7" s="1"/>
  <c r="B6" i="3"/>
  <c r="W8" i="3" s="1"/>
  <c r="K5" i="3"/>
  <c r="M5" i="3" s="1"/>
  <c r="H5" i="3"/>
  <c r="J5" i="3" s="1"/>
  <c r="B5" i="3"/>
  <c r="W15" i="3" s="1"/>
  <c r="B3" i="3"/>
  <c r="C50" i="5"/>
  <c r="H4" i="3"/>
  <c r="J4" i="3" s="1"/>
  <c r="E4" i="3"/>
  <c r="G4" i="3" s="1"/>
  <c r="B4" i="3"/>
  <c r="H6" i="3"/>
  <c r="J6" i="3" s="1"/>
  <c r="E6" i="3"/>
  <c r="G6" i="3" s="1"/>
  <c r="C81" i="8"/>
  <c r="C89" i="8"/>
  <c r="C80" i="8"/>
  <c r="B79" i="7"/>
  <c r="D67" i="11"/>
  <c r="C75" i="11"/>
  <c r="C80" i="11"/>
  <c r="C73" i="11"/>
  <c r="C77" i="11"/>
  <c r="C81" i="11"/>
  <c r="C79" i="11"/>
  <c r="C82" i="11"/>
  <c r="C76" i="11"/>
  <c r="E67" i="11"/>
  <c r="E9" i="3"/>
  <c r="G9" i="3" s="1"/>
  <c r="C89" i="11"/>
  <c r="F67" i="11"/>
  <c r="H9" i="3"/>
  <c r="J9" i="3" s="1"/>
  <c r="J3" i="3" l="1"/>
  <c r="D9" i="3"/>
  <c r="D6" i="3"/>
  <c r="W9" i="3"/>
  <c r="D4" i="3"/>
  <c r="D3" i="3"/>
  <c r="D5" i="3"/>
  <c r="W13" i="3"/>
  <c r="I68" i="8"/>
  <c r="B76" i="7"/>
  <c r="B7" i="3"/>
  <c r="I68" i="11"/>
  <c r="D83" i="8"/>
  <c r="B82" i="1"/>
  <c r="B77" i="7"/>
  <c r="B80" i="7" s="1"/>
  <c r="N7" i="3" s="1"/>
  <c r="C82" i="1"/>
  <c r="K7" i="3"/>
  <c r="O8" i="3"/>
  <c r="B83" i="7"/>
  <c r="D83" i="11"/>
  <c r="C83" i="8"/>
  <c r="N8" i="3" s="1"/>
  <c r="C83" i="11"/>
  <c r="O9" i="3"/>
  <c r="B85" i="7"/>
  <c r="D7" i="3" l="1"/>
  <c r="W12" i="3"/>
  <c r="M7" i="3"/>
  <c r="C101" i="11"/>
  <c r="C97" i="11"/>
  <c r="C93" i="11"/>
  <c r="C104" i="11"/>
  <c r="C100" i="11"/>
  <c r="C103" i="11"/>
  <c r="C99" i="11"/>
  <c r="C95" i="11"/>
  <c r="C102" i="11"/>
  <c r="N6" i="3"/>
  <c r="N9" i="3"/>
  <c r="R6" i="3" l="1"/>
  <c r="C105" i="11"/>
</calcChain>
</file>

<file path=xl/sharedStrings.xml><?xml version="1.0" encoding="utf-8"?>
<sst xmlns="http://schemas.openxmlformats.org/spreadsheetml/2006/main" count="1260" uniqueCount="382">
  <si>
    <t>Datum</t>
  </si>
  <si>
    <t>km</t>
  </si>
  <si>
    <t>čas</t>
  </si>
  <si>
    <t>průměrná rychlost</t>
  </si>
  <si>
    <t>nastoupané metry</t>
  </si>
  <si>
    <t>Průměrná rychlost</t>
  </si>
  <si>
    <t>Vzdálenost k pokoření</t>
  </si>
  <si>
    <t>Do práce a zpět</t>
  </si>
  <si>
    <t>Do Chýně a zpět</t>
  </si>
  <si>
    <t>Cesta po darování krvi Radotín -&gt; Zbraslav -&gt; domů</t>
  </si>
  <si>
    <t>S Káťou do Chýně, kde pár piveček i s Jirkou a pak zpět přes Hostivice a Zličín</t>
  </si>
  <si>
    <t>Do práce a po práci se Sojčíkem okruh Radotín -&gt; Zbraslav -&gt; Domů</t>
  </si>
  <si>
    <t>Do práce a pak s Jirkou a Sojčíkem do Chýně a domů</t>
  </si>
  <si>
    <t>K babičce si něco vyzvednout a zpět</t>
  </si>
  <si>
    <t>Do práce a pak s Jirkou do Chýně a domů</t>
  </si>
  <si>
    <t>Do práce a pak do Horních Beřkovic</t>
  </si>
  <si>
    <t>Z Beřkovic do Práce a pak domů</t>
  </si>
  <si>
    <t>Do práce a pak domů</t>
  </si>
  <si>
    <t>Do Chýně s Káťou</t>
  </si>
  <si>
    <t>Do práce a po práci s Jirkou do hospůdky U dvou koček, pak hřiště u Jirky a pak na Unětické pivko do hospůdky U pavouka a domů</t>
  </si>
  <si>
    <t>Do práce a zpět domů</t>
  </si>
  <si>
    <t>Do práce a cestou zpět zastávka na náplavce, kde jsme si s Jirkou dali 2 pivka. Cestou Prokopákem jsem si vzpomněl, že jsem nechal baťoh pod stolem. Takže otočka, zpět na náplavku a pak domů.</t>
  </si>
  <si>
    <t>Do práce, po práci návštěva babičky v poliklinice v Italské. Pak sraz s Jirkou a příjemná cesta na Zbraslav, kde posezení a pak přes Radotín domů</t>
  </si>
  <si>
    <t>Kolo dovezeno do Rokytnice nad Jizerou, kde jsem vyjel na Rezek, Dvoračky přes Ručičky na Voseckou boudu a odtud do Harrachova do pivovaru a zpět na chalupu</t>
  </si>
  <si>
    <t>Do práce, po práci cesta do Horních Beřkovic</t>
  </si>
  <si>
    <t>Z Beřkovic do práce a pak s Jirkou na Zbraslav a domů</t>
  </si>
  <si>
    <t>Výlet s Jirkou přes Kladno do Slaného a zpět. Návštěva 3 minipivovarů (Kladenský kozlík, Slaný a chýně).</t>
  </si>
  <si>
    <t>Cesta do Petrovic u Rakovníka</t>
  </si>
  <si>
    <t>Cesta z Petrovic do Rakovníka</t>
  </si>
  <si>
    <t>Do práce a pak do Beřkovic</t>
  </si>
  <si>
    <t>Cesta z Horních Beřkovic přes Nelahozeves, Kralupy nad Vltavou, Okoř, Lidice, Kladno, Unhošť a Chýni</t>
  </si>
  <si>
    <t>Do práce a pak s Jirkou do Unětic, kde jsme si dali pivečko a žebra a pokračovali přes Kněževes do Chýně a pak do Třebonic. Večer se jelo na pohotovost, neboť Jirka spadl ze schodů :-)</t>
  </si>
  <si>
    <t>Do práce a pak jsem dal kolo do servisu (výměna řetězu, bovdenů)</t>
  </si>
  <si>
    <t>Odjezd směr Orlík a po rekordní vzdálenosti jsem dojel do cíle. Spokojenej a šťastnej.</t>
  </si>
  <si>
    <t>Se Štěpánem do Unětic, pak přes Divokou Šárku do Holešovic a přes Malou Stranu domů</t>
  </si>
  <si>
    <t>Ze Světlé nad Sázavou do Ledče nad Sázavou za Jirkou</t>
  </si>
  <si>
    <t>Odpolední vyjížďka s Jirkou do Želivu, kde klášterní pivečko a cestou zpět jsme zašli na houby, které ale nerostly</t>
  </si>
  <si>
    <t>Návrat z Ledče do Prahy přes Kácov, kde jsme se rozloučili s Jirkou a já pokračoval do Benešova a pak vlakem</t>
  </si>
  <si>
    <t>Do Chýně s Jirkou a Lenkou</t>
  </si>
  <si>
    <t>Do práce a pak do Radotína na floorball</t>
  </si>
  <si>
    <t>Do práce</t>
  </si>
  <si>
    <t>Do práce a pak na Dívčí hrady pomoci ségře s rekonstrukcí</t>
  </si>
  <si>
    <t>Do práce a pak do Roudnice nad Labem za partou lidí, která se rozhodla zrekonstruovat statek</t>
  </si>
  <si>
    <t>Z Roudnice nad Labem domů do Prahy</t>
  </si>
  <si>
    <t>Dovolená Z Brodu nad Dyjí přes vinice do Mikulova, kde jsme navštívili zámek a koupání, pak do Dolních Věstonic, do Strachotína a Pasohlávek, kde jsme navštívili vinný sklípek - více si nepamatuji</t>
  </si>
  <si>
    <t>Dovolená Z Brodu nad Dyjí do Iváně, kde jsme si dali výborné a hlavně levné jídlo. Večer jsem ještě jel od kempu do Lednice, kde jsem čekal</t>
  </si>
  <si>
    <t>Dovolená Z kempu do Lednice a skrz krásnou krajinu do Břeclavy a dále na Pohansko, kde byl krátký spánek a zpět</t>
  </si>
  <si>
    <t>Dovolená Z Lanžhota na soutok Moravy a Dyje. Úžasný zážitek.</t>
  </si>
  <si>
    <t>Dovolená Z Moravského písku jsem jel se podívat na Ořechov, kde jsme šli druhý den na svatbu Honzi a Moniky</t>
  </si>
  <si>
    <t>Dovolená Z Moravského písku jsem jel pro auto do Ořechova</t>
  </si>
  <si>
    <t>-</t>
  </si>
  <si>
    <t>Na konec Prokopského údolí</t>
  </si>
  <si>
    <t>Do Chýně a zpět přes Sobín</t>
  </si>
  <si>
    <t>Cesta na závody do Uhříněvsi</t>
  </si>
  <si>
    <t>Cesta do práce a zpátky přes Zbraslav</t>
  </si>
  <si>
    <t>Cesta do práce, na angličtinu a k babičce</t>
  </si>
  <si>
    <t>Cesta do práce a po práci se Sojkou po nábřezí směr Modřanské kino a domů</t>
  </si>
  <si>
    <t>Cesta do práce a po práci po nábřezí směr Modřanské kino a domů</t>
  </si>
  <si>
    <t>Cesta do práce a po práci po nábřezí do Hostivic pak do Chýně a domů, cestou pár zastávek na dobré pivečko s Jirkou (mimochodem je v závodním týmu beerteam na akci na kole do práce :-)</t>
  </si>
  <si>
    <t>Cesta do práce a později směr Lety, kde byla návštěva pivovaru MMX s křidélkami a pak návrat domů kvůli hokeji.</t>
  </si>
  <si>
    <t>Cesta do práce, směrem na angličtinu na Nové Butovice a pak domů. Ráno píchlá duše na Národní třídě</t>
  </si>
  <si>
    <t>Cesta do práce bohužel na pár dní konečná s cyklo - nutno dát do servisu</t>
  </si>
  <si>
    <t>Cesta z práce na opraveném kole, sraz se Sojčíkem na Karláku později zjištěno, že servis nebyl zase tak super</t>
  </si>
  <si>
    <t>Cesta do práce, abych dal kolo znovu do servisu. Nakonec rychlá oprava a návrat přes angličtinu domů</t>
  </si>
  <si>
    <t>Cesta do práce, kde nechávám kolo do čtvrtka, protože jedu do Beřkovic</t>
  </si>
  <si>
    <t>Cesta do práce, pak angličtina a vyjížďka směr Hostivice a Chýně a domů. Moc příjemná:-)</t>
  </si>
  <si>
    <t>Cesta do práce a po práci se přibližuji vlakem do stanice Libčice nad Vltavou a dále pokračuji na kole do Horních Beřkovic. Několik nepříjemností a hlavně zajížděk. S cyklostezkou to mělo pramálo společného, ale bylo to super</t>
  </si>
  <si>
    <t>Cesta z práce domů</t>
  </si>
  <si>
    <t>Cesta do práce po práci na náplavce pivečko, směr anděl (předání materiálů Honzovi) pokračování na Charitas tour (cesta za babičkou), pak za tetou a domů</t>
  </si>
  <si>
    <t>Cesta do práce, pak angličtina a domů.</t>
  </si>
  <si>
    <t>Cesta do práce a pak domů.</t>
  </si>
  <si>
    <t>Cesta do Stiřína, která začínala za krásného cyklistického počasí a končila bouřkou, která samozřejmě nikomu a ničemu nevadila. Fotky k vidění zde (až budou tak budou)</t>
  </si>
  <si>
    <t>Cesta s mámou na Karlštejn přes Řevnice, Lety do Černošic, kde nástup na vlak a domů už jen MHD. Výlet moc hezký a máma spokojená :-)</t>
  </si>
  <si>
    <t>Cesta do práce (kolo nechaný v práci, protože přišla odpolední bouřka) Vsadil jsem se se šéfem o pivo, že nebude pršet a prohrál sem :-(</t>
  </si>
  <si>
    <t>Cesta do práce. Odpoledne cesta metrem i s kolem (přijela Káťa na koncert Lanuga)</t>
  </si>
  <si>
    <t>Cesta do práce po práci na náplavce pivečka pokračování na Charitas tour (cesta za babičkou)a pak do intersportu a domů</t>
  </si>
  <si>
    <t>Cesta do práce po práci směr Anděl, kde mám za úkol vytisknout fotku na svatbu. Vylezl jsem z copycentra a kolo nikde. Ano je to tak!!! Cikáni mi ukradli mé zlaté kolo. Jak se to stalo se dočtete zde</t>
  </si>
  <si>
    <t>Cesta do práce po práci na náplavce Dudák, se Štěpánem a Jirkou na Zbraslav a pak domů</t>
  </si>
  <si>
    <t>Cesta do práce a domů</t>
  </si>
  <si>
    <t>Cesta do práce pak s kolem na garančku kola, dále do pivovaru v Uněticích a přes město za babičkou a domů</t>
  </si>
  <si>
    <t>Cesta do práce a potom do Horních Beřkovic</t>
  </si>
  <si>
    <t>Cesta do práce z Horních Beřkovic</t>
  </si>
  <si>
    <t>Cesta do práce Oslava ujetých 1000km v letošní sezoně poté směr Radotín na tenis a pak přes Zbraslav domů.</t>
  </si>
  <si>
    <t>Dovolená První výlet naší dovolené s Káťou. Bylo to hezké, ale asi na začátek trochu náročnější terén. Myslím, že se to ale nakonec celkem povedlo :-)</t>
  </si>
  <si>
    <t>Dovolená Krátká vyjížďka kvůli špatnému počasí.</t>
  </si>
  <si>
    <t>Dovolená Projížďka směr Lipno nad Vltavou a zpět - udělalo se hezky tak jsme toho využili</t>
  </si>
  <si>
    <t>Dovolená Na začátku výletu bylo hezky a v půlce přišla taková průtrž mračen, že jsme se museli schovat v Lipně do restaurace</t>
  </si>
  <si>
    <t>Dovolená Krásná vyjížďka okolo Třeboně</t>
  </si>
  <si>
    <t>Dovolená Krásná vyjížďka okolo Třeboně 2</t>
  </si>
  <si>
    <t>Dovolená Ráno pro pečivo do Třeboně a zpět - myslím, že to byl super počin</t>
  </si>
  <si>
    <t>Celkem</t>
  </si>
  <si>
    <t>Cesta kolem světa</t>
  </si>
  <si>
    <t>Rok</t>
  </si>
  <si>
    <t>Pokořená vzdálenost</t>
  </si>
  <si>
    <t>Popis cesty</t>
  </si>
  <si>
    <t>Avg. speed</t>
  </si>
  <si>
    <t>Time</t>
  </si>
  <si>
    <t>Max. rychlost</t>
  </si>
  <si>
    <t>Nastoupáno (m)</t>
  </si>
  <si>
    <t>Max. výška (m.n.m)</t>
  </si>
  <si>
    <t>Z domova do Chýně. Pravda, byla ještě zima, ale to mě nemohlo odradit</t>
  </si>
  <si>
    <t>S bandou cyklistů (7) do Berouna a pak zpět do Prahy</t>
  </si>
  <si>
    <t>Do práce a pak s Jirkou do chýně a domů (nová cesta)</t>
  </si>
  <si>
    <t>Nedělní pojezd s Rudou a Honzou. Příjemná cesta Chýně, Okoř, Unětice.</t>
  </si>
  <si>
    <t>Cesta do práce, pak cesta na pivko do Zlých časů a v noci Prokopákem domů, kde jsem píchl a po tmě měnil duši. Zážitek :-)</t>
  </si>
  <si>
    <t>Cesta do Radotína na pivečko za Honzou a zpět přes Zbraslav na Novodvorskou a pivečko s Jirkou a domů - krásná oslava narozenin</t>
  </si>
  <si>
    <t>Cesta do práce a pak bohužel metrem domů. Déšť.</t>
  </si>
  <si>
    <t>Cesta Slaného přes Kladno s Jirkou - zase super den.</t>
  </si>
  <si>
    <t>72.91</t>
  </si>
  <si>
    <t>Do práce a pak přes Kroupovku domů</t>
  </si>
  <si>
    <t>Do práce a pak domů (zapsáno z endomonda - ztráta tachometru)</t>
  </si>
  <si>
    <t>?</t>
  </si>
  <si>
    <t>Z Rokytnice nad Jizerou výjezd na Luční boudu přes Špindlerův mlýn, Výrovku. Ochutnáno pivečko a pak přes Vrchlabí zpět. Více zde Na dně sil</t>
  </si>
  <si>
    <t>Do práce a pak na floorball do Radotína přes Zbraslav</t>
  </si>
  <si>
    <t>Ztracené kobylky - můj první MTBO. Bylo to úžasné - nakonec 10. místo v kategorii MM, více zde: Ztracené kobylky 2013</t>
  </si>
  <si>
    <t>Tour de Morava (Jirka, Štěpka, já)-odjezd do kempu Mars u Nových mlýnů. V Břeclavi jsem si narazil ruku při pádu. Po příjezdu do kempu mi upadla přehazovačka. Dovolená pěkně začala :-)</t>
  </si>
  <si>
    <t>Tour de Morava - ráno mě hodili i s kolem dobří lidé do Lednice do servisu, kde mi opravili kolo a vyrazili jsme na cestu.</t>
  </si>
  <si>
    <t>Tour de Morava - cesta po pivovarech Jižní Moravy. Bylo to příjemné, ale náročné :-)</t>
  </si>
  <si>
    <t>Tour de Morava - cesta směr soutok Moravy a Dyje</t>
  </si>
  <si>
    <t>Tour de Morava - cesta s bagážema do Brna a pak vlakem do Prahy</t>
  </si>
  <si>
    <t>Do práce, floorball a domů</t>
  </si>
  <si>
    <t>Nevím</t>
  </si>
  <si>
    <t>Už nevím kam</t>
  </si>
  <si>
    <t>Do práce a pak do Chýně a domů</t>
  </si>
  <si>
    <t>Vocetcup</t>
  </si>
  <si>
    <t>728,02km</t>
  </si>
  <si>
    <t>Kilometry (údaje z tachometru)</t>
  </si>
  <si>
    <t>19.60</t>
  </si>
  <si>
    <t>Pokořen Mt. Everest</t>
  </si>
  <si>
    <t>Akce Jižní Čechy s Jirkou</t>
  </si>
  <si>
    <t>Dovolená s Kristýnou</t>
  </si>
  <si>
    <t>Ztracené Kobylky 2014</t>
  </si>
  <si>
    <t>Trénink na Zlaťák 2014</t>
  </si>
  <si>
    <t>Zlaťák 2014</t>
  </si>
  <si>
    <t>Ztracené kobylky</t>
  </si>
  <si>
    <t>13,85 s K.</t>
  </si>
  <si>
    <t>Transbrody.cz</t>
  </si>
  <si>
    <t>defekt</t>
  </si>
  <si>
    <t>Vocet Cup</t>
  </si>
  <si>
    <t>16,5 s K.</t>
  </si>
  <si>
    <t xml:space="preserve">Cesta na tandemu na Jižní Moravě </t>
  </si>
  <si>
    <t>16,54 s K.</t>
  </si>
  <si>
    <t>Kolik mě stojí km jízdy</t>
  </si>
  <si>
    <t>vzdálenost</t>
  </si>
  <si>
    <t>Cena opravy atd.</t>
  </si>
  <si>
    <t>Za co</t>
  </si>
  <si>
    <t>výplet kola</t>
  </si>
  <si>
    <t>Délka rovníku</t>
  </si>
  <si>
    <t>lepení</t>
  </si>
  <si>
    <t>centrovací klíč</t>
  </si>
  <si>
    <t>Průměrně km za rok</t>
  </si>
  <si>
    <t>Popis</t>
  </si>
  <si>
    <t>Práce, Lužiny,domů</t>
  </si>
  <si>
    <t>kolem Okořína s Kristýnou</t>
  </si>
  <si>
    <t>Umístění</t>
  </si>
  <si>
    <r>
      <t xml:space="preserve">Cesta do práce a pak do </t>
    </r>
    <r>
      <rPr>
        <sz val="10"/>
        <color indexed="10"/>
        <rFont val="Arial"/>
        <family val="2"/>
        <charset val="238"/>
      </rPr>
      <t>servisu</t>
    </r>
  </si>
  <si>
    <t>Servis kola</t>
  </si>
  <si>
    <t>z práce za strejdou a domů</t>
  </si>
  <si>
    <t>Bratislava - Vídeň</t>
  </si>
  <si>
    <t xml:space="preserve">Bratislava </t>
  </si>
  <si>
    <t>Vídeň - Unanov</t>
  </si>
  <si>
    <t>Unanov - Český Rudolec</t>
  </si>
  <si>
    <t>Český Rudolec - Prčice</t>
  </si>
  <si>
    <t>Prčice - Praha</t>
  </si>
  <si>
    <t>Po okolí Okořína</t>
  </si>
  <si>
    <t>Výšlap na Jedlák</t>
  </si>
  <si>
    <t>Do Vysoké pece</t>
  </si>
  <si>
    <t>27,43*</t>
  </si>
  <si>
    <t>25,78*</t>
  </si>
  <si>
    <t>25,49*</t>
  </si>
  <si>
    <t>na tenis s Jirkou (3:6;6:1;5:7)</t>
  </si>
  <si>
    <t>Z Rokytnice do Harrachova a zpět</t>
  </si>
  <si>
    <t>jen na nákup</t>
  </si>
  <si>
    <t>cesta do práce</t>
  </si>
  <si>
    <t>Cesta na Transbrody</t>
  </si>
  <si>
    <t>Transbrody</t>
  </si>
  <si>
    <t>Cesta ze závodů</t>
  </si>
  <si>
    <t>194 (čas: 3:25:57)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</si>
  <si>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</si>
  <si>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</si>
  <si>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</si>
  <si>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</si>
  <si>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</si>
  <si>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</si>
  <si>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</si>
  <si>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</si>
  <si>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</si>
  <si>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</si>
  <si>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</si>
  <si>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</si>
  <si>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49 (1:37:54; 1. v kat. nad 100kg)</t>
  </si>
  <si>
    <t>Návrat ze Zlaťáku</t>
  </si>
  <si>
    <t>Do Lochkova</t>
  </si>
  <si>
    <t>Do chýně a Radotína na tenis</t>
  </si>
  <si>
    <t>Nad 1000 metrů</t>
  </si>
  <si>
    <t>Pod 500 metrů</t>
  </si>
  <si>
    <t>Mezi 500 a 1000 metry</t>
  </si>
  <si>
    <t>Jižní Morava</t>
  </si>
  <si>
    <t>Do chýně v Mlze</t>
  </si>
  <si>
    <t>nákup treter</t>
  </si>
  <si>
    <t>Výšlap na Jedlovou</t>
  </si>
  <si>
    <t>Prasklý drát</t>
  </si>
  <si>
    <t>Počet výjezdů</t>
  </si>
  <si>
    <t>Počet kilometrů</t>
  </si>
  <si>
    <t>Zadní kolo + servis</t>
  </si>
  <si>
    <t>Ztracené kobylky 2017</t>
  </si>
  <si>
    <t>Vzdálenost</t>
  </si>
  <si>
    <t>Nastoupané metry</t>
  </si>
  <si>
    <t>Čas pohybu</t>
  </si>
  <si>
    <t>Umístění v kategorii</t>
  </si>
  <si>
    <t>Umístění celkové</t>
  </si>
  <si>
    <t>Body celkově</t>
  </si>
  <si>
    <t>práce--&gt;domů</t>
  </si>
  <si>
    <t>1.</t>
  </si>
  <si>
    <t>do Chýně</t>
  </si>
  <si>
    <t>práce--&gt;Zbraslav--&gt;Lochkov--&gt;domů</t>
  </si>
  <si>
    <t>2.</t>
  </si>
  <si>
    <t>práce--&gt;Vršovice--&gt;rodiče--&gt;domů</t>
  </si>
  <si>
    <t>na tenis do Rachotu</t>
  </si>
  <si>
    <t>Celkem dní na kole</t>
  </si>
  <si>
    <t xml:space="preserve"> </t>
  </si>
  <si>
    <t>9.</t>
  </si>
  <si>
    <t>Ztracené kobylky 2018</t>
  </si>
  <si>
    <t>servis</t>
  </si>
  <si>
    <t>čistící přípravek</t>
  </si>
  <si>
    <t>České Budějovice - Frymburk</t>
  </si>
  <si>
    <t>Frymburk - Modrava</t>
  </si>
  <si>
    <t>Modrava - Nýrsko</t>
  </si>
  <si>
    <t>Nýrsko - Plzeň</t>
  </si>
  <si>
    <t>Celkem km</t>
  </si>
  <si>
    <t>nastoupáno metrů</t>
  </si>
  <si>
    <t>celkový čas</t>
  </si>
  <si>
    <t>Počet dnů</t>
  </si>
  <si>
    <t>přepočteno na 1 den</t>
  </si>
  <si>
    <t>Brno--&gt; Velká Roudka</t>
  </si>
  <si>
    <t>Velká Roudka --&gt;Žďár nad Sázavou</t>
  </si>
  <si>
    <t>Žďár nad Sázavou --&gt;Ledeč nad Sázavou</t>
  </si>
  <si>
    <t>Ledeč nad Sázavou --&gt; Praha</t>
  </si>
  <si>
    <t>do práce a z Brněnského nádraží k přehradě</t>
  </si>
  <si>
    <t>21.98</t>
  </si>
  <si>
    <t>přesmykač</t>
  </si>
  <si>
    <t>44 zubů převodník</t>
  </si>
  <si>
    <t>Transbrody 2018 (58:07 oficiální čas, 22 v kategorii M19)</t>
  </si>
  <si>
    <t>pořadí</t>
  </si>
  <si>
    <t>e</t>
  </si>
  <si>
    <t>e = s Eliškou</t>
  </si>
  <si>
    <t>Cyklo s Eliškou</t>
  </si>
  <si>
    <t>Celkově</t>
  </si>
  <si>
    <t>Bez Elišky</t>
  </si>
  <si>
    <t>S Eliškou</t>
  </si>
  <si>
    <t>z navigace</t>
  </si>
  <si>
    <t>Ztracené kobylky 2019</t>
  </si>
  <si>
    <t xml:space="preserve">Seřízení ložisek </t>
  </si>
  <si>
    <t>Transbrody 2019 (58:05 oficiální čas, 11 v kategorii M19)</t>
  </si>
  <si>
    <t>Tour de Morava (T+K+E; T+L+E)</t>
  </si>
  <si>
    <t>Tour de Morava</t>
  </si>
  <si>
    <r>
      <rPr>
        <b/>
        <sz val="11"/>
        <rFont val="Arial"/>
        <family val="2"/>
        <charset val="238"/>
      </rPr>
      <t xml:space="preserve">Tour de Krušné Hory </t>
    </r>
    <r>
      <rPr>
        <sz val="10"/>
        <rFont val="Arial"/>
        <family val="2"/>
        <charset val="238"/>
      </rPr>
      <t xml:space="preserve">
(Okořín, Boží Dar, nejzápadnější pod ČR, Aš, Karlovy Vary, Žatec Most)</t>
    </r>
  </si>
  <si>
    <t xml:space="preserve">Tour de Krkonoše </t>
  </si>
  <si>
    <t>Tour de Jižní Čechy (T+K+E+H+L)</t>
  </si>
  <si>
    <t>Transbrody 2020 (00:57:24 oficiální čas, 17 v kategorii M19)</t>
  </si>
  <si>
    <t>Zlaťák (1:29:47 oficiální čas, 1. v kategorii nad 100Kg</t>
  </si>
  <si>
    <t>Zlaťák</t>
  </si>
  <si>
    <t>Zlaťák (1:25:46 oficiální čas, 10. v kategorii do 40 let)</t>
  </si>
  <si>
    <t>Zlaťák (1:28:23 oficiální čas, 13. v kategorii do 40 let</t>
  </si>
  <si>
    <t>31/47</t>
  </si>
  <si>
    <t>řetez a výživa</t>
  </si>
  <si>
    <t>nad 20 km</t>
  </si>
  <si>
    <t>nad 40 km</t>
  </si>
  <si>
    <t>nad 30 km</t>
  </si>
  <si>
    <t>nad 50 km</t>
  </si>
  <si>
    <t>nad 60 km</t>
  </si>
  <si>
    <t>nad 70 km</t>
  </si>
  <si>
    <t>nad 80 km</t>
  </si>
  <si>
    <t>nad 90 km</t>
  </si>
  <si>
    <t>nad 10 km</t>
  </si>
  <si>
    <t>nad 100 km</t>
  </si>
  <si>
    <t>nad 110 km</t>
  </si>
  <si>
    <t>do 10 km</t>
  </si>
  <si>
    <t>Délka cesty</t>
  </si>
  <si>
    <t>Počet</t>
  </si>
  <si>
    <t>Ztracené kobylky 2021</t>
  </si>
  <si>
    <r>
      <t xml:space="preserve">Tour de Jeseníky 2021
</t>
    </r>
    <r>
      <rPr>
        <sz val="11"/>
        <rFont val="Arial"/>
        <family val="2"/>
        <charset val="238"/>
      </rPr>
      <t>Hradec Králové-&gt;Jeseník-&gt;Ostrava</t>
    </r>
  </si>
  <si>
    <t>11.6.</t>
  </si>
  <si>
    <t>Ježíškova cesta</t>
  </si>
  <si>
    <t>Dovolená ve Skalné a návštěva Kristý</t>
  </si>
  <si>
    <t>Zlaťák (1:30:11 oficiální čas, 13. v kategorii do 40 let</t>
  </si>
  <si>
    <t>tretry</t>
  </si>
  <si>
    <t>kufry</t>
  </si>
  <si>
    <t>na registraci</t>
  </si>
  <si>
    <t>na závod</t>
  </si>
  <si>
    <t>CT author cup - 669 celkově a 219 kategorie MA</t>
  </si>
  <si>
    <t>Poslední den v měsíci</t>
  </si>
  <si>
    <t>První den v měsíci</t>
  </si>
  <si>
    <t>km na den</t>
  </si>
  <si>
    <t xml:space="preserve">kalhoty na kolo </t>
  </si>
  <si>
    <t xml:space="preserve"> Eliška (e )</t>
  </si>
  <si>
    <r>
      <t xml:space="preserve">Tour de Sever 2022
</t>
    </r>
    <r>
      <rPr>
        <sz val="10"/>
        <rFont val="Arial"/>
        <family val="2"/>
        <charset val="238"/>
      </rPr>
      <t>Liberec-&gt;Cvikov-&gt;Šluknov-&gt;Hřensko-&gt;Děčín-&gt;Teplice -&gt;Most -&gt; Okořín</t>
    </r>
  </si>
  <si>
    <t>sevis kola Endorphine</t>
  </si>
  <si>
    <t>Rideko</t>
  </si>
  <si>
    <t>Ztracené kobylky 2023</t>
  </si>
  <si>
    <t>12 MM/50 celkem</t>
  </si>
  <si>
    <t>Tour de Východ 2023</t>
  </si>
  <si>
    <t>13_Morava</t>
  </si>
  <si>
    <t>14_J. Čechy</t>
  </si>
  <si>
    <t>16_Bratislava</t>
  </si>
  <si>
    <t>17_Šumava</t>
  </si>
  <si>
    <t>18_Brno</t>
  </si>
  <si>
    <t>19_Krušné</t>
  </si>
  <si>
    <t>20_Krkonoše</t>
  </si>
  <si>
    <t>21_Jeseníky</t>
  </si>
  <si>
    <t>22_Sever</t>
  </si>
  <si>
    <t>23_Východ</t>
  </si>
  <si>
    <t>Pořadí</t>
  </si>
  <si>
    <t>Doba</t>
  </si>
  <si>
    <t>km na jednu vyjížďku</t>
  </si>
  <si>
    <t>Pokořeno výškových metrů</t>
  </si>
  <si>
    <t>1:16::24</t>
  </si>
  <si>
    <t xml:space="preserve">Pokoření Everestu </t>
  </si>
  <si>
    <t>Značka</t>
  </si>
  <si>
    <t>Giant</t>
  </si>
  <si>
    <t>Model</t>
  </si>
  <si>
    <t>Terrago</t>
  </si>
  <si>
    <t>Barva</t>
  </si>
  <si>
    <t>Metallic Black / Neon Orange / Black</t>
  </si>
  <si>
    <t>Rám</t>
  </si>
  <si>
    <t>ALUXX Aluminum</t>
  </si>
  <si>
    <t>Vidlice</t>
  </si>
  <si>
    <t>RockShox Recon RL Remote Solo Air 29, zdvih 100 mm, zamykání z řídítek, Boost 15x110 mm, sloupek OverDrive</t>
  </si>
  <si>
    <t>Řídítka</t>
  </si>
  <si>
    <t>Giant Connect Trail, 780 x 31,8 mm</t>
  </si>
  <si>
    <t>Představec</t>
  </si>
  <si>
    <t>Giant Connect, úhel 8°</t>
  </si>
  <si>
    <t>Sedlovka</t>
  </si>
  <si>
    <t>Giant Connect, 30,9 mm</t>
  </si>
  <si>
    <t>Sedlo</t>
  </si>
  <si>
    <t>Giant Connect (Upright)</t>
  </si>
  <si>
    <t>Pedály</t>
  </si>
  <si>
    <t>SHIMANO XT PLATFORM</t>
  </si>
  <si>
    <t>Řazení</t>
  </si>
  <si>
    <t>Shimano XT, převody 2x11 ++</t>
  </si>
  <si>
    <t>Přesmykač</t>
  </si>
  <si>
    <t>Shimano XT 8025 ++</t>
  </si>
  <si>
    <t>Přehazovačka</t>
  </si>
  <si>
    <t>Shadow Deore XT Shadow+</t>
  </si>
  <si>
    <t>Brzdy</t>
  </si>
  <si>
    <t>Shimano XT 8000, kotouče XT 160 mm +180MM ++</t>
  </si>
  <si>
    <t>Brzdové páky</t>
  </si>
  <si>
    <t>Shimano XT 8000 ++</t>
  </si>
  <si>
    <t>Kazeta</t>
  </si>
  <si>
    <t>Shimano XT 8000, 11-42 zubů ++</t>
  </si>
  <si>
    <t>Kliky</t>
  </si>
  <si>
    <t>Shimano Deore XT, převodníky 36/26 zubů</t>
  </si>
  <si>
    <t>Středové složení</t>
  </si>
  <si>
    <t>Shimano Press Fit</t>
  </si>
  <si>
    <t>Ráfky</t>
  </si>
  <si>
    <t>Giant GX03V 29, 6061 Aluminum, dvojstěnné, 21 mm vnitřní šířka</t>
  </si>
  <si>
    <t>Náboje</t>
  </si>
  <si>
    <t>vpředu: Giant Tracker Performance, Boost pevná osa 15x110 mm, zapouzdřená ložiska / vzadu: Giant Tracker Sport, rychloupínák</t>
  </si>
  <si>
    <t>Dráty</t>
  </si>
  <si>
    <t>nerez ocel</t>
  </si>
  <si>
    <t>Pláště</t>
  </si>
  <si>
    <t>Maxxis Ikon, 29x2.2, 60 TPI</t>
  </si>
  <si>
    <t>Brzdové kotouče</t>
  </si>
  <si>
    <t>Shimano SM-RT66 (180mm)</t>
  </si>
  <si>
    <t xml:space="preserve">Shimano SM-RT66 (160mm) </t>
  </si>
  <si>
    <t>brzdový kotouč (SM-RT66)</t>
  </si>
  <si>
    <t>Ztracené kobylky 2024</t>
  </si>
  <si>
    <t>10 MD/69 celkem</t>
  </si>
  <si>
    <t>Počet týmů v kategorii</t>
  </si>
  <si>
    <t>2024 (MD)</t>
  </si>
  <si>
    <t>S holkama na těžko z Okořína do Oldřichova</t>
  </si>
  <si>
    <t>Podzimní Ztracené kobylky</t>
  </si>
  <si>
    <t>velký převodník</t>
  </si>
  <si>
    <t>malý převodník</t>
  </si>
  <si>
    <t>plášt</t>
  </si>
  <si>
    <t>částečně s Eliškou</t>
  </si>
  <si>
    <t>Tour de Drážďany</t>
  </si>
  <si>
    <t>24_Drážďany</t>
  </si>
  <si>
    <t>2025 (MD)</t>
  </si>
  <si>
    <t>Ztracené kobylky 2025</t>
  </si>
  <si>
    <t>7MD/93 celkem</t>
  </si>
  <si>
    <t>zadní kolo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</si>
</sst>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[h]"/>
  </numFmts>
  <fonts count="15" x14ac:knownFonts="1">
    <font>
      <sz val="10"/>
      <name val="Arial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  <font>
      <sz val="10"/>
      <color indexed="10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b/>
      <sz val="12"/>
      <color theme="0"/>
      <name val="Arial"/>
      <family val="2"/>
      <charset val="238"/>
    </font>
    <font>
      <b/>
      <sz val="11"/>
      <color theme="0"/>
      <name val="Arial"/>
      <family val="2"/>
      <charset val="238"/>
    </font>
    <font>
      <sz val="11"/>
      <color theme="0"/>
      <name val="Arial"/>
      <family val="2"/>
      <charset val="238"/>
    </font>
    <font>
      <sz val="12"/>
      <color theme="0"/>
      <name val="Arial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6B7B0"/>
        <bgColor indexed="64"/>
      </patternFill>
    </fill>
    <fill>
      <patternFill patternType="solid">
        <fgColor theme="7" tint="-0.249977111117893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/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DashDot">
        <color indexed="64"/>
      </left>
      <right style="mediumDashDot">
        <color indexed="64"/>
      </right>
      <top style="mediumDashDot">
        <color indexed="64"/>
      </top>
      <bottom/>
      <diagonal/>
    </border>
    <border>
      <left style="mediumDashDot">
        <color indexed="64"/>
      </left>
      <right style="mediumDashDot">
        <color indexed="64"/>
      </right>
      <top/>
      <bottom/>
      <diagonal/>
    </border>
    <border>
      <left style="mediumDashDot">
        <color indexed="64"/>
      </left>
      <right style="mediumDashDot">
        <color indexed="64"/>
      </right>
      <top/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/>
      <right style="thin">
        <color indexed="64"/>
      </right>
      <top style="thin">
        <color indexed="64"/>
      </top>
      <bottom style="slantDashDot">
        <color indexed="64"/>
      </bottom>
      <diagonal/>
    </border>
    <border>
      <left style="medium">
        <color indexed="64"/>
      </left>
      <right/>
      <top/>
      <bottom style="mediumDashDot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1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46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/>
    <xf numFmtId="21" fontId="0" fillId="0" borderId="0" xfId="0" applyNumberFormat="1"/>
    <xf numFmtId="20" fontId="0" fillId="0" borderId="0" xfId="0" applyNumberFormat="1"/>
    <xf numFmtId="0" fontId="0" fillId="0" borderId="1" xfId="0" applyBorder="1"/>
    <xf numFmtId="46" fontId="0" fillId="0" borderId="0" xfId="0" applyNumberFormat="1"/>
    <xf numFmtId="164" fontId="0" fillId="0" borderId="0" xfId="0" applyNumberFormat="1"/>
    <xf numFmtId="0" fontId="4" fillId="0" borderId="1" xfId="0" applyFont="1" applyBorder="1" applyAlignment="1">
      <alignment horizontal="center"/>
    </xf>
    <xf numFmtId="14" fontId="0" fillId="2" borderId="5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1" fontId="0" fillId="2" borderId="1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14" fontId="0" fillId="3" borderId="5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1" fontId="0" fillId="3" borderId="1" xfId="0" applyNumberForma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14" fontId="0" fillId="4" borderId="5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1" fontId="0" fillId="4" borderId="1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/>
    <xf numFmtId="2" fontId="0" fillId="0" borderId="0" xfId="0" applyNumberFormat="1"/>
    <xf numFmtId="2" fontId="0" fillId="0" borderId="1" xfId="0" applyNumberFormat="1" applyBorder="1" applyAlignment="1">
      <alignment horizontal="center"/>
    </xf>
    <xf numFmtId="21" fontId="0" fillId="0" borderId="0" xfId="0" applyNumberFormat="1" applyBorder="1"/>
    <xf numFmtId="0" fontId="0" fillId="0" borderId="0" xfId="0" applyBorder="1"/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1" fontId="0" fillId="0" borderId="0" xfId="0" applyNumberFormat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21" fontId="0" fillId="5" borderId="1" xfId="0" applyNumberForma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21" fontId="0" fillId="6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14" fontId="3" fillId="6" borderId="5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1" fontId="3" fillId="6" borderId="1" xfId="0" applyNumberFormat="1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13" xfId="0" applyFont="1" applyFill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14" fontId="3" fillId="6" borderId="15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21" fontId="3" fillId="6" borderId="7" xfId="0" applyNumberFormat="1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7" borderId="5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21" fontId="3" fillId="7" borderId="1" xfId="0" applyNumberFormat="1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5" fillId="7" borderId="0" xfId="0" applyFont="1" applyFill="1"/>
    <xf numFmtId="0" fontId="5" fillId="7" borderId="0" xfId="0" applyFont="1" applyFill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14" fontId="3" fillId="4" borderId="5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21" fontId="3" fillId="4" borderId="1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4" fontId="3" fillId="8" borderId="5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21" fontId="3" fillId="8" borderId="1" xfId="0" applyNumberFormat="1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5" fillId="8" borderId="0" xfId="0" applyFont="1" applyFill="1"/>
    <xf numFmtId="0" fontId="5" fillId="8" borderId="0" xfId="0" applyFont="1" applyFill="1" applyBorder="1" applyAlignment="1">
      <alignment horizontal="center" vertical="center"/>
    </xf>
    <xf numFmtId="20" fontId="5" fillId="8" borderId="0" xfId="0" applyNumberFormat="1" applyFont="1" applyFill="1"/>
    <xf numFmtId="2" fontId="3" fillId="0" borderId="0" xfId="0" applyNumberFormat="1" applyFont="1"/>
    <xf numFmtId="21" fontId="5" fillId="8" borderId="0" xfId="0" applyNumberFormat="1" applyFont="1" applyFill="1"/>
    <xf numFmtId="164" fontId="0" fillId="0" borderId="0" xfId="0" applyNumberFormat="1" applyBorder="1"/>
    <xf numFmtId="0" fontId="0" fillId="0" borderId="17" xfId="0" applyFill="1" applyBorder="1" applyAlignment="1">
      <alignment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1" fontId="3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Border="1" applyAlignment="1">
      <alignment horizontal="center" vertical="center"/>
    </xf>
    <xf numFmtId="0" fontId="0" fillId="0" borderId="0" xfId="0" applyFill="1"/>
    <xf numFmtId="2" fontId="3" fillId="0" borderId="1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/>
    <xf numFmtId="4" fontId="0" fillId="0" borderId="0" xfId="0" applyNumberFormat="1" applyBorder="1"/>
    <xf numFmtId="0" fontId="0" fillId="0" borderId="0" xfId="0" applyBorder="1" applyAlignment="1"/>
    <xf numFmtId="2" fontId="0" fillId="0" borderId="0" xfId="0" applyNumberFormat="1" applyBorder="1" applyAlignment="1"/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46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4" fontId="3" fillId="6" borderId="20" xfId="0" applyNumberFormat="1" applyFont="1" applyFill="1" applyBorder="1" applyAlignment="1">
      <alignment horizontal="left" vertical="center"/>
    </xf>
    <xf numFmtId="14" fontId="3" fillId="6" borderId="21" xfId="0" applyNumberFormat="1" applyFont="1" applyFill="1" applyBorder="1" applyAlignment="1">
      <alignment horizontal="left" vertical="center"/>
    </xf>
    <xf numFmtId="14" fontId="3" fillId="0" borderId="21" xfId="0" applyNumberFormat="1" applyFont="1" applyFill="1" applyBorder="1" applyAlignment="1">
      <alignment horizontal="left" vertical="center"/>
    </xf>
    <xf numFmtId="14" fontId="4" fillId="0" borderId="21" xfId="0" applyNumberFormat="1" applyFont="1" applyFill="1" applyBorder="1" applyAlignment="1">
      <alignment horizontal="left" vertical="center"/>
    </xf>
    <xf numFmtId="0" fontId="3" fillId="6" borderId="21" xfId="0" applyFont="1" applyFill="1" applyBorder="1" applyAlignment="1">
      <alignment horizontal="left" vertical="center"/>
    </xf>
    <xf numFmtId="0" fontId="3" fillId="6" borderId="22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5" fillId="7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4" fontId="0" fillId="0" borderId="1" xfId="0" applyNumberFormat="1" applyBorder="1"/>
    <xf numFmtId="14" fontId="4" fillId="0" borderId="5" xfId="0" applyNumberFormat="1" applyFont="1" applyFill="1" applyBorder="1" applyAlignment="1">
      <alignment horizontal="center" vertical="center"/>
    </xf>
    <xf numFmtId="14" fontId="4" fillId="9" borderId="1" xfId="0" applyNumberFormat="1" applyFont="1" applyFill="1" applyBorder="1"/>
    <xf numFmtId="14" fontId="4" fillId="9" borderId="21" xfId="0" applyNumberFormat="1" applyFont="1" applyFill="1" applyBorder="1" applyAlignment="1">
      <alignment horizontal="left" vertical="center"/>
    </xf>
    <xf numFmtId="14" fontId="3" fillId="9" borderId="21" xfId="0" applyNumberFormat="1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21" fontId="3" fillId="9" borderId="1" xfId="0" applyNumberFormat="1" applyFont="1" applyFill="1" applyBorder="1" applyAlignment="1">
      <alignment horizontal="center" vertical="center"/>
    </xf>
    <xf numFmtId="14" fontId="4" fillId="9" borderId="5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4" fontId="4" fillId="6" borderId="15" xfId="0" applyNumberFormat="1" applyFont="1" applyFill="1" applyBorder="1" applyAlignment="1">
      <alignment horizontal="center" vertical="center"/>
    </xf>
    <xf numFmtId="14" fontId="4" fillId="6" borderId="5" xfId="0" applyNumberFormat="1" applyFont="1" applyFill="1" applyBorder="1" applyAlignment="1">
      <alignment horizontal="center" vertical="center"/>
    </xf>
    <xf numFmtId="14" fontId="4" fillId="7" borderId="1" xfId="0" applyNumberFormat="1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4" fillId="0" borderId="0" xfId="0" applyFont="1" applyFill="1" applyBorder="1"/>
    <xf numFmtId="21" fontId="0" fillId="0" borderId="0" xfId="0" applyNumberFormat="1" applyFill="1"/>
    <xf numFmtId="14" fontId="4" fillId="6" borderId="21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14" fontId="4" fillId="0" borderId="1" xfId="0" applyNumberFormat="1" applyFont="1" applyFill="1" applyBorder="1" applyAlignment="1">
      <alignment horizontal="center" vertical="center"/>
    </xf>
    <xf numFmtId="14" fontId="4" fillId="7" borderId="5" xfId="0" applyNumberFormat="1" applyFont="1" applyFill="1" applyBorder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left" vertical="center"/>
    </xf>
    <xf numFmtId="0" fontId="8" fillId="7" borderId="21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left" vertical="center"/>
    </xf>
    <xf numFmtId="2" fontId="0" fillId="0" borderId="0" xfId="0" applyNumberFormat="1" applyAlignment="1">
      <alignment horizontal="right"/>
    </xf>
    <xf numFmtId="2" fontId="3" fillId="0" borderId="7" xfId="0" applyNumberFormat="1" applyFont="1" applyFill="1" applyBorder="1" applyAlignment="1">
      <alignment horizontal="center" vertical="center"/>
    </xf>
    <xf numFmtId="2" fontId="3" fillId="10" borderId="11" xfId="0" applyNumberFormat="1" applyFont="1" applyFill="1" applyBorder="1" applyAlignment="1">
      <alignment horizontal="center" vertical="center"/>
    </xf>
    <xf numFmtId="2" fontId="3" fillId="6" borderId="7" xfId="0" applyNumberFormat="1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/>
    </xf>
    <xf numFmtId="2" fontId="3" fillId="7" borderId="1" xfId="0" applyNumberFormat="1" applyFont="1" applyFill="1" applyBorder="1" applyAlignment="1">
      <alignment horizontal="center" vertical="center"/>
    </xf>
    <xf numFmtId="2" fontId="3" fillId="9" borderId="1" xfId="0" applyNumberFormat="1" applyFont="1" applyFill="1" applyBorder="1" applyAlignment="1">
      <alignment horizontal="center" vertical="center"/>
    </xf>
    <xf numFmtId="2" fontId="3" fillId="10" borderId="1" xfId="0" applyNumberFormat="1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left" vertical="center"/>
    </xf>
    <xf numFmtId="14" fontId="3" fillId="0" borderId="8" xfId="0" applyNumberFormat="1" applyFont="1" applyBorder="1" applyAlignment="1">
      <alignment horizontal="center" vertical="center"/>
    </xf>
    <xf numFmtId="14" fontId="3" fillId="6" borderId="22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14" fontId="0" fillId="11" borderId="0" xfId="0" applyNumberFormat="1" applyFill="1"/>
    <xf numFmtId="0" fontId="0" fillId="11" borderId="0" xfId="0" applyFill="1"/>
    <xf numFmtId="21" fontId="0" fillId="11" borderId="0" xfId="0" applyNumberForma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21" fontId="4" fillId="0" borderId="1" xfId="0" applyNumberFormat="1" applyFont="1" applyFill="1" applyBorder="1" applyAlignment="1">
      <alignment horizontal="center"/>
    </xf>
    <xf numFmtId="2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9" xfId="0" applyFont="1" applyFill="1" applyBorder="1" applyAlignment="1">
      <alignment horizontal="center" vertical="center"/>
    </xf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21" fontId="4" fillId="0" borderId="5" xfId="0" applyNumberFormat="1" applyFont="1" applyFill="1" applyBorder="1" applyAlignment="1">
      <alignment horizontal="center"/>
    </xf>
    <xf numFmtId="21" fontId="4" fillId="0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Border="1"/>
    <xf numFmtId="164" fontId="0" fillId="0" borderId="0" xfId="0" applyNumberFormat="1"/>
    <xf numFmtId="14" fontId="4" fillId="0" borderId="0" xfId="0" applyNumberFormat="1" applyFont="1"/>
    <xf numFmtId="14" fontId="3" fillId="6" borderId="20" xfId="0" applyNumberFormat="1" applyFont="1" applyFill="1" applyBorder="1" applyAlignment="1">
      <alignment horizontal="center" vertical="center"/>
    </xf>
    <xf numFmtId="14" fontId="3" fillId="6" borderId="21" xfId="0" applyNumberFormat="1" applyFont="1" applyFill="1" applyBorder="1" applyAlignment="1">
      <alignment horizontal="center" vertical="center"/>
    </xf>
    <xf numFmtId="14" fontId="3" fillId="0" borderId="2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1" fontId="0" fillId="0" borderId="0" xfId="0" applyNumberFormat="1"/>
    <xf numFmtId="0" fontId="4" fillId="0" borderId="1" xfId="0" applyFont="1" applyFill="1" applyBorder="1"/>
    <xf numFmtId="165" fontId="9" fillId="0" borderId="1" xfId="0" applyNumberFormat="1" applyFont="1" applyFill="1" applyBorder="1" applyAlignment="1">
      <alignment horizontal="center"/>
    </xf>
    <xf numFmtId="46" fontId="9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46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5" fillId="0" borderId="1" xfId="0" applyFont="1" applyBorder="1"/>
    <xf numFmtId="0" fontId="3" fillId="0" borderId="7" xfId="0" applyFont="1" applyFill="1" applyBorder="1" applyAlignment="1">
      <alignment horizontal="center" vertical="center"/>
    </xf>
    <xf numFmtId="21" fontId="3" fillId="0" borderId="7" xfId="0" applyNumberFormat="1" applyFont="1" applyFill="1" applyBorder="1" applyAlignment="1">
      <alignment horizontal="center" vertical="center"/>
    </xf>
    <xf numFmtId="14" fontId="4" fillId="0" borderId="26" xfId="0" applyNumberFormat="1" applyFont="1" applyFill="1" applyBorder="1" applyAlignment="1">
      <alignment horizontal="center" vertical="center"/>
    </xf>
    <xf numFmtId="14" fontId="3" fillId="0" borderId="27" xfId="0" applyNumberFormat="1" applyFont="1" applyFill="1" applyBorder="1" applyAlignment="1">
      <alignment horizontal="left" vertical="center"/>
    </xf>
    <xf numFmtId="14" fontId="3" fillId="0" borderId="27" xfId="0" applyNumberFormat="1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21" fontId="3" fillId="0" borderId="28" xfId="0" applyNumberFormat="1" applyFont="1" applyFill="1" applyBorder="1" applyAlignment="1">
      <alignment horizontal="center" vertical="center"/>
    </xf>
    <xf numFmtId="2" fontId="3" fillId="0" borderId="28" xfId="0" applyNumberFormat="1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6" borderId="32" xfId="0" applyFont="1" applyFill="1" applyBorder="1" applyAlignment="1">
      <alignment horizontal="center" vertical="center"/>
    </xf>
    <xf numFmtId="0" fontId="0" fillId="0" borderId="32" xfId="0" applyBorder="1"/>
    <xf numFmtId="0" fontId="5" fillId="0" borderId="32" xfId="0" applyFont="1" applyFill="1" applyBorder="1" applyAlignment="1">
      <alignment horizontal="center" vertical="center"/>
    </xf>
    <xf numFmtId="0" fontId="0" fillId="0" borderId="32" xfId="0" applyFill="1" applyBorder="1"/>
    <xf numFmtId="0" fontId="0" fillId="0" borderId="33" xfId="0" applyFill="1" applyBorder="1"/>
    <xf numFmtId="14" fontId="4" fillId="0" borderId="7" xfId="0" applyNumberFormat="1" applyFont="1" applyFill="1" applyBorder="1" applyAlignment="1">
      <alignment horizontal="left" vertical="center"/>
    </xf>
    <xf numFmtId="14" fontId="3" fillId="0" borderId="7" xfId="0" applyNumberFormat="1" applyFont="1" applyFill="1" applyBorder="1" applyAlignment="1">
      <alignment horizontal="center" vertical="center"/>
    </xf>
    <xf numFmtId="14" fontId="3" fillId="0" borderId="34" xfId="0" applyNumberFormat="1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21" fontId="3" fillId="0" borderId="34" xfId="0" applyNumberFormat="1" applyFont="1" applyFill="1" applyBorder="1" applyAlignment="1">
      <alignment horizontal="center" vertical="center"/>
    </xf>
    <xf numFmtId="2" fontId="3" fillId="0" borderId="34" xfId="0" applyNumberFormat="1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0" fillId="0" borderId="36" xfId="0" applyFill="1" applyBorder="1"/>
    <xf numFmtId="164" fontId="3" fillId="0" borderId="7" xfId="0" applyNumberFormat="1" applyFont="1" applyFill="1" applyBorder="1" applyAlignment="1">
      <alignment horizontal="center" vertical="center"/>
    </xf>
    <xf numFmtId="14" fontId="4" fillId="0" borderId="34" xfId="0" applyNumberFormat="1" applyFont="1" applyFill="1" applyBorder="1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4" fontId="4" fillId="0" borderId="15" xfId="0" applyNumberFormat="1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left" vertical="center"/>
    </xf>
    <xf numFmtId="0" fontId="3" fillId="6" borderId="20" xfId="0" applyFont="1" applyFill="1" applyBorder="1" applyAlignment="1">
      <alignment horizontal="center" vertical="center"/>
    </xf>
    <xf numFmtId="14" fontId="4" fillId="0" borderId="37" xfId="0" applyNumberFormat="1" applyFont="1" applyFill="1" applyBorder="1" applyAlignment="1">
      <alignment horizontal="center" vertical="center"/>
    </xf>
    <xf numFmtId="0" fontId="3" fillId="6" borderId="38" xfId="0" applyFont="1" applyFill="1" applyBorder="1" applyAlignment="1">
      <alignment horizontal="left" vertical="center"/>
    </xf>
    <xf numFmtId="0" fontId="3" fillId="6" borderId="38" xfId="0" applyFont="1" applyFill="1" applyBorder="1" applyAlignment="1">
      <alignment horizontal="center" vertical="center"/>
    </xf>
    <xf numFmtId="164" fontId="3" fillId="0" borderId="34" xfId="0" applyNumberFormat="1" applyFont="1" applyFill="1" applyBorder="1" applyAlignment="1">
      <alignment horizontal="center" vertical="center"/>
    </xf>
    <xf numFmtId="0" fontId="0" fillId="0" borderId="36" xfId="0" applyBorder="1"/>
    <xf numFmtId="0" fontId="4" fillId="0" borderId="39" xfId="0" applyFont="1" applyFill="1" applyBorder="1" applyAlignment="1">
      <alignment vertical="center"/>
    </xf>
    <xf numFmtId="0" fontId="0" fillId="12" borderId="0" xfId="0" applyFill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4" fontId="4" fillId="0" borderId="40" xfId="0" applyNumberFormat="1" applyFont="1" applyFill="1" applyBorder="1" applyAlignment="1">
      <alignment horizontal="center" vertical="center"/>
    </xf>
    <xf numFmtId="0" fontId="3" fillId="6" borderId="40" xfId="0" applyFont="1" applyFill="1" applyBorder="1" applyAlignment="1">
      <alignment horizontal="left" vertical="center"/>
    </xf>
    <xf numFmtId="0" fontId="3" fillId="6" borderId="40" xfId="0" applyFont="1" applyFill="1" applyBorder="1" applyAlignment="1">
      <alignment horizontal="center" vertical="center"/>
    </xf>
    <xf numFmtId="2" fontId="3" fillId="0" borderId="40" xfId="0" applyNumberFormat="1" applyFont="1" applyFill="1" applyBorder="1" applyAlignment="1">
      <alignment horizontal="center" vertical="center"/>
    </xf>
    <xf numFmtId="164" fontId="3" fillId="0" borderId="4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2" fontId="0" fillId="0" borderId="0" xfId="0" applyNumberFormat="1" applyFill="1"/>
    <xf numFmtId="0" fontId="4" fillId="13" borderId="0" xfId="0" applyFont="1" applyFill="1"/>
    <xf numFmtId="46" fontId="10" fillId="0" borderId="1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164" fontId="0" fillId="0" borderId="13" xfId="0" applyNumberFormat="1" applyFill="1" applyBorder="1" applyAlignment="1">
      <alignment horizontal="center" vertical="center"/>
    </xf>
    <xf numFmtId="2" fontId="4" fillId="0" borderId="13" xfId="0" applyNumberFormat="1" applyFont="1" applyFill="1" applyBorder="1" applyAlignment="1">
      <alignment horizontal="center" vertical="center"/>
    </xf>
    <xf numFmtId="1" fontId="0" fillId="0" borderId="14" xfId="0" applyNumberFormat="1" applyFill="1" applyBorder="1" applyAlignment="1">
      <alignment horizontal="center" vertical="center"/>
    </xf>
    <xf numFmtId="0" fontId="0" fillId="0" borderId="44" xfId="0" applyBorder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12" xfId="0" applyFill="1" applyBorder="1"/>
    <xf numFmtId="0" fontId="0" fillId="0" borderId="14" xfId="0" applyBorder="1"/>
    <xf numFmtId="0" fontId="0" fillId="0" borderId="14" xfId="0" applyFill="1" applyBorder="1"/>
    <xf numFmtId="0" fontId="0" fillId="0" borderId="15" xfId="0" applyBorder="1"/>
    <xf numFmtId="0" fontId="0" fillId="0" borderId="16" xfId="0" applyBorder="1"/>
    <xf numFmtId="0" fontId="4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0" fillId="0" borderId="45" xfId="0" applyBorder="1" applyAlignment="1">
      <alignment horizontal="left"/>
    </xf>
    <xf numFmtId="0" fontId="4" fillId="0" borderId="23" xfId="0" applyFont="1" applyBorder="1"/>
    <xf numFmtId="0" fontId="4" fillId="0" borderId="24" xfId="0" applyFont="1" applyBorder="1"/>
    <xf numFmtId="0" fontId="4" fillId="0" borderId="25" xfId="0" applyFont="1" applyBorder="1"/>
    <xf numFmtId="0" fontId="10" fillId="0" borderId="0" xfId="0" applyFont="1" applyFill="1"/>
    <xf numFmtId="46" fontId="0" fillId="0" borderId="0" xfId="0" applyNumberFormat="1" applyFill="1"/>
    <xf numFmtId="0" fontId="4" fillId="0" borderId="0" xfId="0" applyFont="1" applyFill="1"/>
    <xf numFmtId="0" fontId="0" fillId="0" borderId="46" xfId="0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14" fontId="4" fillId="0" borderId="21" xfId="0" applyNumberFormat="1" applyFont="1" applyFill="1" applyBorder="1" applyAlignment="1">
      <alignment horizontal="center" vertical="center"/>
    </xf>
    <xf numFmtId="14" fontId="3" fillId="0" borderId="40" xfId="0" applyNumberFormat="1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10" fillId="0" borderId="4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0" fillId="0" borderId="0" xfId="0" applyFill="1" applyBorder="1" applyAlignment="1"/>
    <xf numFmtId="0" fontId="3" fillId="6" borderId="46" xfId="0" applyFont="1" applyFill="1" applyBorder="1" applyAlignment="1">
      <alignment horizontal="center" vertical="center"/>
    </xf>
    <xf numFmtId="2" fontId="3" fillId="6" borderId="46" xfId="0" applyNumberFormat="1" applyFont="1" applyFill="1" applyBorder="1" applyAlignment="1">
      <alignment horizontal="center" vertical="center"/>
    </xf>
    <xf numFmtId="0" fontId="3" fillId="6" borderId="49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1" fontId="0" fillId="0" borderId="1" xfId="0" applyNumberFormat="1" applyBorder="1"/>
    <xf numFmtId="2" fontId="3" fillId="0" borderId="46" xfId="0" applyNumberFormat="1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14" fontId="4" fillId="21" borderId="5" xfId="0" applyNumberFormat="1" applyFont="1" applyFill="1" applyBorder="1" applyAlignment="1">
      <alignment horizontal="center" vertical="center"/>
    </xf>
    <xf numFmtId="14" fontId="3" fillId="21" borderId="21" xfId="0" applyNumberFormat="1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 vertical="center"/>
    </xf>
    <xf numFmtId="21" fontId="3" fillId="21" borderId="1" xfId="0" applyNumberFormat="1" applyFont="1" applyFill="1" applyBorder="1" applyAlignment="1">
      <alignment horizontal="center" vertical="center"/>
    </xf>
    <xf numFmtId="2" fontId="3" fillId="21" borderId="1" xfId="0" applyNumberFormat="1" applyFont="1" applyFill="1" applyBorder="1" applyAlignment="1">
      <alignment horizontal="center" vertical="center"/>
    </xf>
    <xf numFmtId="0" fontId="3" fillId="21" borderId="6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/>
    </xf>
    <xf numFmtId="0" fontId="0" fillId="0" borderId="0" xfId="0" applyAlignment="1"/>
    <xf numFmtId="0" fontId="3" fillId="0" borderId="11" xfId="0" applyFont="1" applyFill="1" applyBorder="1" applyAlignment="1">
      <alignment horizontal="center" vertical="center"/>
    </xf>
    <xf numFmtId="21" fontId="3" fillId="0" borderId="11" xfId="0" applyNumberFormat="1" applyFont="1" applyFill="1" applyBorder="1" applyAlignment="1">
      <alignment horizontal="center" vertical="center"/>
    </xf>
    <xf numFmtId="46" fontId="1" fillId="10" borderId="9" xfId="0" applyNumberFormat="1" applyFont="1" applyFill="1" applyBorder="1" applyAlignment="1">
      <alignment horizontal="center" vertical="center"/>
    </xf>
    <xf numFmtId="2" fontId="1" fillId="10" borderId="9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/>
    <xf numFmtId="0" fontId="3" fillId="0" borderId="0" xfId="0" applyFont="1"/>
    <xf numFmtId="1" fontId="9" fillId="0" borderId="1" xfId="0" applyNumberFormat="1" applyFont="1" applyBorder="1" applyAlignment="1">
      <alignment horizontal="center"/>
    </xf>
    <xf numFmtId="0" fontId="3" fillId="6" borderId="51" xfId="0" applyFont="1" applyFill="1" applyBorder="1" applyAlignment="1">
      <alignment horizontal="center" vertical="center"/>
    </xf>
    <xf numFmtId="0" fontId="3" fillId="6" borderId="44" xfId="0" applyFont="1" applyFill="1" applyBorder="1" applyAlignment="1">
      <alignment horizontal="center" vertical="center"/>
    </xf>
    <xf numFmtId="0" fontId="3" fillId="0" borderId="44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1" fontId="1" fillId="10" borderId="52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vertical="center"/>
    </xf>
    <xf numFmtId="0" fontId="5" fillId="0" borderId="1" xfId="0" applyFont="1" applyFill="1" applyBorder="1"/>
    <xf numFmtId="46" fontId="0" fillId="0" borderId="1" xfId="0" applyNumberFormat="1" applyFill="1" applyBorder="1"/>
    <xf numFmtId="2" fontId="3" fillId="0" borderId="53" xfId="0" applyNumberFormat="1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44" xfId="0" applyBorder="1"/>
    <xf numFmtId="0" fontId="4" fillId="0" borderId="2" xfId="0" applyFont="1" applyBorder="1"/>
    <xf numFmtId="0" fontId="4" fillId="0" borderId="5" xfId="0" applyFont="1" applyBorder="1"/>
    <xf numFmtId="0" fontId="4" fillId="0" borderId="5" xfId="0" applyFont="1" applyFill="1" applyBorder="1"/>
    <xf numFmtId="46" fontId="0" fillId="0" borderId="5" xfId="0" applyNumberFormat="1" applyBorder="1"/>
    <xf numFmtId="0" fontId="5" fillId="0" borderId="6" xfId="0" applyFont="1" applyFill="1" applyBorder="1" applyAlignment="1">
      <alignment horizontal="center" vertical="center"/>
    </xf>
    <xf numFmtId="0" fontId="10" fillId="0" borderId="5" xfId="0" applyFont="1" applyFill="1" applyBorder="1"/>
    <xf numFmtId="0" fontId="0" fillId="0" borderId="6" xfId="0" applyFill="1" applyBorder="1"/>
    <xf numFmtId="0" fontId="0" fillId="0" borderId="5" xfId="0" applyFill="1" applyBorder="1"/>
    <xf numFmtId="0" fontId="0" fillId="0" borderId="5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1" fontId="0" fillId="0" borderId="16" xfId="0" applyNumberFormat="1" applyBorder="1"/>
    <xf numFmtId="1" fontId="0" fillId="0" borderId="15" xfId="0" applyNumberFormat="1" applyBorder="1"/>
    <xf numFmtId="1" fontId="0" fillId="0" borderId="5" xfId="0" applyNumberFormat="1" applyBorder="1"/>
    <xf numFmtId="1" fontId="3" fillId="0" borderId="12" xfId="0" applyNumberFormat="1" applyFont="1" applyFill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1" fontId="3" fillId="0" borderId="14" xfId="0" applyNumberFormat="1" applyFont="1" applyFill="1" applyBorder="1" applyAlignment="1">
      <alignment horizontal="center"/>
    </xf>
    <xf numFmtId="14" fontId="4" fillId="23" borderId="5" xfId="0" applyNumberFormat="1" applyFont="1" applyFill="1" applyBorder="1" applyAlignment="1">
      <alignment horizontal="center" vertical="center"/>
    </xf>
    <xf numFmtId="0" fontId="3" fillId="23" borderId="1" xfId="0" applyFont="1" applyFill="1" applyBorder="1" applyAlignment="1">
      <alignment horizontal="center" vertical="center"/>
    </xf>
    <xf numFmtId="21" fontId="3" fillId="23" borderId="1" xfId="0" applyNumberFormat="1" applyFont="1" applyFill="1" applyBorder="1" applyAlignment="1">
      <alignment horizontal="center" vertical="center"/>
    </xf>
    <xf numFmtId="2" fontId="3" fillId="23" borderId="1" xfId="0" applyNumberFormat="1" applyFont="1" applyFill="1" applyBorder="1" applyAlignment="1">
      <alignment horizontal="center" vertical="center"/>
    </xf>
    <xf numFmtId="0" fontId="3" fillId="23" borderId="44" xfId="0" applyFont="1" applyFill="1" applyBorder="1" applyAlignment="1">
      <alignment horizontal="center" vertical="center"/>
    </xf>
    <xf numFmtId="0" fontId="0" fillId="23" borderId="1" xfId="0" applyFill="1" applyBorder="1"/>
    <xf numFmtId="0" fontId="5" fillId="23" borderId="1" xfId="0" applyFont="1" applyFill="1" applyBorder="1"/>
    <xf numFmtId="46" fontId="0" fillId="0" borderId="1" xfId="0" applyNumberFormat="1" applyBorder="1"/>
    <xf numFmtId="17" fontId="10" fillId="7" borderId="1" xfId="0" applyNumberFormat="1" applyFont="1" applyFill="1" applyBorder="1" applyAlignment="1">
      <alignment horizontal="center" vertical="center"/>
    </xf>
    <xf numFmtId="0" fontId="3" fillId="6" borderId="50" xfId="0" applyFont="1" applyFill="1" applyBorder="1" applyAlignment="1">
      <alignment horizontal="center" vertical="center"/>
    </xf>
    <xf numFmtId="1" fontId="9" fillId="17" borderId="1" xfId="0" applyNumberFormat="1" applyFont="1" applyFill="1" applyBorder="1" applyAlignment="1">
      <alignment horizontal="center"/>
    </xf>
    <xf numFmtId="1" fontId="9" fillId="19" borderId="1" xfId="0" applyNumberFormat="1" applyFont="1" applyFill="1" applyBorder="1" applyAlignment="1">
      <alignment horizontal="center"/>
    </xf>
    <xf numFmtId="1" fontId="14" fillId="18" borderId="1" xfId="0" applyNumberFormat="1" applyFont="1" applyFill="1" applyBorder="1" applyAlignment="1">
      <alignment horizontal="center"/>
    </xf>
    <xf numFmtId="1" fontId="9" fillId="20" borderId="1" xfId="0" applyNumberFormat="1" applyFont="1" applyFill="1" applyBorder="1" applyAlignment="1">
      <alignment horizontal="center"/>
    </xf>
    <xf numFmtId="1" fontId="14" fillId="16" borderId="1" xfId="0" applyNumberFormat="1" applyFont="1" applyFill="1" applyBorder="1" applyAlignment="1">
      <alignment horizontal="center"/>
    </xf>
    <xf numFmtId="1" fontId="9" fillId="24" borderId="1" xfId="0" applyNumberFormat="1" applyFont="1" applyFill="1" applyBorder="1" applyAlignment="1">
      <alignment horizontal="center"/>
    </xf>
    <xf numFmtId="1" fontId="9" fillId="14" borderId="1" xfId="0" applyNumberFormat="1" applyFont="1" applyFill="1" applyBorder="1" applyAlignment="1">
      <alignment horizontal="center"/>
    </xf>
    <xf numFmtId="1" fontId="9" fillId="22" borderId="1" xfId="0" applyNumberFormat="1" applyFont="1" applyFill="1" applyBorder="1" applyAlignment="1">
      <alignment horizontal="center"/>
    </xf>
    <xf numFmtId="1" fontId="9" fillId="8" borderId="1" xfId="0" applyNumberFormat="1" applyFont="1" applyFill="1" applyBorder="1" applyAlignment="1">
      <alignment horizontal="center"/>
    </xf>
    <xf numFmtId="1" fontId="9" fillId="10" borderId="1" xfId="0" applyNumberFormat="1" applyFont="1" applyFill="1" applyBorder="1" applyAlignment="1">
      <alignment horizontal="center"/>
    </xf>
    <xf numFmtId="1" fontId="9" fillId="15" borderId="1" xfId="0" applyNumberFormat="1" applyFont="1" applyFill="1" applyBorder="1" applyAlignment="1">
      <alignment horizontal="center"/>
    </xf>
    <xf numFmtId="1" fontId="1" fillId="10" borderId="8" xfId="0" applyNumberFormat="1" applyFont="1" applyFill="1" applyBorder="1" applyAlignment="1">
      <alignment horizontal="center" vertical="center"/>
    </xf>
    <xf numFmtId="1" fontId="9" fillId="10" borderId="11" xfId="0" applyNumberFormat="1" applyFont="1" applyFill="1" applyBorder="1" applyAlignment="1">
      <alignment horizontal="center"/>
    </xf>
    <xf numFmtId="46" fontId="9" fillId="14" borderId="1" xfId="0" applyNumberFormat="1" applyFont="1" applyFill="1" applyBorder="1" applyAlignment="1">
      <alignment horizontal="center"/>
    </xf>
    <xf numFmtId="46" fontId="9" fillId="15" borderId="1" xfId="0" applyNumberFormat="1" applyFont="1" applyFill="1" applyBorder="1" applyAlignment="1">
      <alignment horizontal="center"/>
    </xf>
    <xf numFmtId="46" fontId="9" fillId="20" borderId="1" xfId="0" applyNumberFormat="1" applyFont="1" applyFill="1" applyBorder="1" applyAlignment="1">
      <alignment horizontal="center"/>
    </xf>
    <xf numFmtId="46" fontId="9" fillId="22" borderId="1" xfId="0" applyNumberFormat="1" applyFont="1" applyFill="1" applyBorder="1" applyAlignment="1">
      <alignment horizontal="center"/>
    </xf>
    <xf numFmtId="46" fontId="9" fillId="24" borderId="1" xfId="0" applyNumberFormat="1" applyFont="1" applyFill="1" applyBorder="1" applyAlignment="1">
      <alignment horizontal="center"/>
    </xf>
    <xf numFmtId="2" fontId="1" fillId="25" borderId="8" xfId="0" applyNumberFormat="1" applyFont="1" applyFill="1" applyBorder="1" applyAlignment="1">
      <alignment horizontal="center"/>
    </xf>
    <xf numFmtId="1" fontId="9" fillId="25" borderId="9" xfId="0" applyNumberFormat="1" applyFont="1" applyFill="1" applyBorder="1" applyAlignment="1">
      <alignment horizontal="center"/>
    </xf>
    <xf numFmtId="1" fontId="1" fillId="25" borderId="9" xfId="0" applyNumberFormat="1" applyFont="1" applyFill="1" applyBorder="1" applyAlignment="1">
      <alignment horizontal="center"/>
    </xf>
    <xf numFmtId="46" fontId="9" fillId="25" borderId="9" xfId="0" applyNumberFormat="1" applyFont="1" applyFill="1" applyBorder="1" applyAlignment="1">
      <alignment horizontal="center"/>
    </xf>
    <xf numFmtId="46" fontId="1" fillId="25" borderId="9" xfId="0" applyNumberFormat="1" applyFont="1" applyFill="1" applyBorder="1" applyAlignment="1">
      <alignment horizontal="center"/>
    </xf>
    <xf numFmtId="2" fontId="1" fillId="25" borderId="9" xfId="0" applyNumberFormat="1" applyFont="1" applyFill="1" applyBorder="1" applyAlignment="1">
      <alignment horizontal="center"/>
    </xf>
    <xf numFmtId="1" fontId="1" fillId="25" borderId="10" xfId="0" applyNumberFormat="1" applyFont="1" applyFill="1" applyBorder="1" applyAlignment="1">
      <alignment horizontal="center"/>
    </xf>
    <xf numFmtId="2" fontId="1" fillId="25" borderId="10" xfId="0" applyNumberFormat="1" applyFont="1" applyFill="1" applyBorder="1" applyAlignment="1">
      <alignment horizontal="center"/>
    </xf>
    <xf numFmtId="2" fontId="9" fillId="14" borderId="1" xfId="0" applyNumberFormat="1" applyFont="1" applyFill="1" applyBorder="1" applyAlignment="1">
      <alignment horizontal="center"/>
    </xf>
    <xf numFmtId="2" fontId="9" fillId="15" borderId="1" xfId="0" applyNumberFormat="1" applyFont="1" applyFill="1" applyBorder="1" applyAlignment="1">
      <alignment horizontal="center"/>
    </xf>
    <xf numFmtId="2" fontId="9" fillId="20" borderId="1" xfId="0" applyNumberFormat="1" applyFont="1" applyFill="1" applyBorder="1" applyAlignment="1">
      <alignment horizontal="center"/>
    </xf>
    <xf numFmtId="2" fontId="9" fillId="22" borderId="1" xfId="0" applyNumberFormat="1" applyFont="1" applyFill="1" applyBorder="1" applyAlignment="1">
      <alignment horizontal="center"/>
    </xf>
    <xf numFmtId="2" fontId="9" fillId="24" borderId="1" xfId="0" applyNumberFormat="1" applyFont="1" applyFill="1" applyBorder="1" applyAlignment="1">
      <alignment horizontal="center"/>
    </xf>
    <xf numFmtId="2" fontId="9" fillId="25" borderId="52" xfId="0" applyNumberFormat="1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/>
    </xf>
    <xf numFmtId="1" fontId="9" fillId="25" borderId="10" xfId="0" applyNumberFormat="1" applyFont="1" applyFill="1" applyBorder="1" applyAlignment="1">
      <alignment horizontal="center"/>
    </xf>
    <xf numFmtId="1" fontId="9" fillId="0" borderId="21" xfId="0" applyNumberFormat="1" applyFont="1" applyBorder="1" applyAlignment="1">
      <alignment horizontal="center"/>
    </xf>
    <xf numFmtId="1" fontId="9" fillId="8" borderId="21" xfId="0" applyNumberFormat="1" applyFont="1" applyFill="1" applyBorder="1" applyAlignment="1">
      <alignment horizontal="center"/>
    </xf>
    <xf numFmtId="1" fontId="9" fillId="19" borderId="21" xfId="0" applyNumberFormat="1" applyFont="1" applyFill="1" applyBorder="1" applyAlignment="1">
      <alignment horizontal="center"/>
    </xf>
    <xf numFmtId="1" fontId="14" fillId="18" borderId="21" xfId="0" applyNumberFormat="1" applyFont="1" applyFill="1" applyBorder="1" applyAlignment="1">
      <alignment horizontal="center"/>
    </xf>
    <xf numFmtId="1" fontId="9" fillId="17" borderId="21" xfId="0" applyNumberFormat="1" applyFont="1" applyFill="1" applyBorder="1" applyAlignment="1">
      <alignment horizontal="center"/>
    </xf>
    <xf numFmtId="1" fontId="14" fillId="16" borderId="21" xfId="0" applyNumberFormat="1" applyFont="1" applyFill="1" applyBorder="1" applyAlignment="1">
      <alignment horizontal="center"/>
    </xf>
    <xf numFmtId="1" fontId="9" fillId="14" borderId="21" xfId="0" applyNumberFormat="1" applyFont="1" applyFill="1" applyBorder="1" applyAlignment="1">
      <alignment horizontal="center"/>
    </xf>
    <xf numFmtId="1" fontId="9" fillId="15" borderId="21" xfId="0" applyNumberFormat="1" applyFont="1" applyFill="1" applyBorder="1" applyAlignment="1">
      <alignment horizontal="center"/>
    </xf>
    <xf numFmtId="1" fontId="9" fillId="20" borderId="21" xfId="0" applyNumberFormat="1" applyFont="1" applyFill="1" applyBorder="1" applyAlignment="1">
      <alignment horizontal="center"/>
    </xf>
    <xf numFmtId="1" fontId="9" fillId="22" borderId="21" xfId="0" applyNumberFormat="1" applyFont="1" applyFill="1" applyBorder="1" applyAlignment="1">
      <alignment horizontal="center"/>
    </xf>
    <xf numFmtId="1" fontId="9" fillId="24" borderId="21" xfId="0" applyNumberFormat="1" applyFont="1" applyFill="1" applyBorder="1" applyAlignment="1">
      <alignment horizontal="center"/>
    </xf>
    <xf numFmtId="1" fontId="9" fillId="10" borderId="40" xfId="0" applyNumberFormat="1" applyFont="1" applyFill="1" applyBorder="1" applyAlignment="1">
      <alignment horizontal="center"/>
    </xf>
    <xf numFmtId="1" fontId="9" fillId="0" borderId="20" xfId="0" applyNumberFormat="1" applyFont="1" applyBorder="1" applyAlignment="1">
      <alignment horizontal="center"/>
    </xf>
    <xf numFmtId="1" fontId="9" fillId="0" borderId="7" xfId="0" applyNumberFormat="1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8" borderId="24" xfId="0" applyFont="1" applyFill="1" applyBorder="1" applyAlignment="1">
      <alignment horizontal="center"/>
    </xf>
    <xf numFmtId="0" fontId="5" fillId="19" borderId="24" xfId="0" applyFont="1" applyFill="1" applyBorder="1" applyAlignment="1">
      <alignment horizontal="center"/>
    </xf>
    <xf numFmtId="0" fontId="12" fillId="18" borderId="24" xfId="0" applyFont="1" applyFill="1" applyBorder="1" applyAlignment="1">
      <alignment horizontal="center"/>
    </xf>
    <xf numFmtId="0" fontId="5" fillId="17" borderId="24" xfId="0" applyFont="1" applyFill="1" applyBorder="1" applyAlignment="1">
      <alignment horizontal="center"/>
    </xf>
    <xf numFmtId="0" fontId="12" fillId="16" borderId="24" xfId="0" applyFont="1" applyFill="1" applyBorder="1" applyAlignment="1">
      <alignment horizontal="center"/>
    </xf>
    <xf numFmtId="0" fontId="5" fillId="14" borderId="24" xfId="0" applyFont="1" applyFill="1" applyBorder="1" applyAlignment="1">
      <alignment horizontal="center" vertical="center"/>
    </xf>
    <xf numFmtId="0" fontId="5" fillId="15" borderId="24" xfId="0" applyFont="1" applyFill="1" applyBorder="1" applyAlignment="1">
      <alignment horizontal="center"/>
    </xf>
    <xf numFmtId="0" fontId="5" fillId="20" borderId="24" xfId="0" applyFont="1" applyFill="1" applyBorder="1" applyAlignment="1">
      <alignment horizontal="center"/>
    </xf>
    <xf numFmtId="0" fontId="5" fillId="22" borderId="24" xfId="0" applyFont="1" applyFill="1" applyBorder="1" applyAlignment="1">
      <alignment horizontal="center"/>
    </xf>
    <xf numFmtId="0" fontId="5" fillId="24" borderId="24" xfId="0" applyFont="1" applyFill="1" applyBorder="1" applyAlignment="1">
      <alignment horizontal="center"/>
    </xf>
    <xf numFmtId="0" fontId="5" fillId="10" borderId="25" xfId="0" applyFont="1" applyFill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9" fillId="0" borderId="9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52" xfId="0" applyFont="1" applyFill="1" applyBorder="1" applyAlignment="1">
      <alignment horizontal="center" wrapText="1"/>
    </xf>
    <xf numFmtId="1" fontId="1" fillId="0" borderId="51" xfId="0" applyNumberFormat="1" applyFont="1" applyBorder="1" applyAlignment="1">
      <alignment horizontal="center"/>
    </xf>
    <xf numFmtId="1" fontId="1" fillId="0" borderId="44" xfId="0" applyNumberFormat="1" applyFont="1" applyBorder="1" applyAlignment="1">
      <alignment horizontal="center"/>
    </xf>
    <xf numFmtId="1" fontId="1" fillId="8" borderId="44" xfId="0" applyNumberFormat="1" applyFont="1" applyFill="1" applyBorder="1" applyAlignment="1">
      <alignment horizontal="center"/>
    </xf>
    <xf numFmtId="1" fontId="1" fillId="19" borderId="44" xfId="0" applyNumberFormat="1" applyFont="1" applyFill="1" applyBorder="1" applyAlignment="1">
      <alignment horizontal="center"/>
    </xf>
    <xf numFmtId="1" fontId="11" fillId="18" borderId="44" xfId="0" applyNumberFormat="1" applyFont="1" applyFill="1" applyBorder="1" applyAlignment="1">
      <alignment horizontal="center"/>
    </xf>
    <xf numFmtId="1" fontId="1" fillId="17" borderId="44" xfId="0" applyNumberFormat="1" applyFont="1" applyFill="1" applyBorder="1" applyAlignment="1">
      <alignment horizontal="center"/>
    </xf>
    <xf numFmtId="1" fontId="11" fillId="16" borderId="44" xfId="0" applyNumberFormat="1" applyFont="1" applyFill="1" applyBorder="1" applyAlignment="1">
      <alignment horizontal="center"/>
    </xf>
    <xf numFmtId="1" fontId="1" fillId="14" borderId="44" xfId="0" applyNumberFormat="1" applyFont="1" applyFill="1" applyBorder="1" applyAlignment="1">
      <alignment horizontal="center"/>
    </xf>
    <xf numFmtId="1" fontId="1" fillId="15" borderId="44" xfId="0" applyNumberFormat="1" applyFont="1" applyFill="1" applyBorder="1" applyAlignment="1">
      <alignment horizontal="center"/>
    </xf>
    <xf numFmtId="1" fontId="1" fillId="20" borderId="44" xfId="0" applyNumberFormat="1" applyFont="1" applyFill="1" applyBorder="1" applyAlignment="1">
      <alignment horizontal="center"/>
    </xf>
    <xf numFmtId="1" fontId="1" fillId="22" borderId="44" xfId="0" applyNumberFormat="1" applyFont="1" applyFill="1" applyBorder="1" applyAlignment="1">
      <alignment horizontal="center"/>
    </xf>
    <xf numFmtId="1" fontId="1" fillId="24" borderId="44" xfId="0" applyNumberFormat="1" applyFont="1" applyFill="1" applyBorder="1" applyAlignment="1">
      <alignment horizontal="center"/>
    </xf>
    <xf numFmtId="1" fontId="1" fillId="10" borderId="45" xfId="0" applyNumberFormat="1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 wrapText="1"/>
    </xf>
    <xf numFmtId="46" fontId="9" fillId="0" borderId="15" xfId="0" applyNumberFormat="1" applyFont="1" applyBorder="1" applyAlignment="1">
      <alignment horizontal="center"/>
    </xf>
    <xf numFmtId="46" fontId="1" fillId="0" borderId="16" xfId="0" applyNumberFormat="1" applyFont="1" applyBorder="1" applyAlignment="1">
      <alignment horizontal="center"/>
    </xf>
    <xf numFmtId="46" fontId="9" fillId="0" borderId="5" xfId="0" applyNumberFormat="1" applyFont="1" applyBorder="1" applyAlignment="1">
      <alignment horizontal="center"/>
    </xf>
    <xf numFmtId="46" fontId="1" fillId="0" borderId="6" xfId="0" applyNumberFormat="1" applyFont="1" applyBorder="1" applyAlignment="1">
      <alignment horizontal="center"/>
    </xf>
    <xf numFmtId="46" fontId="9" fillId="8" borderId="5" xfId="0" applyNumberFormat="1" applyFont="1" applyFill="1" applyBorder="1" applyAlignment="1">
      <alignment horizontal="center"/>
    </xf>
    <xf numFmtId="46" fontId="1" fillId="8" borderId="6" xfId="0" applyNumberFormat="1" applyFont="1" applyFill="1" applyBorder="1" applyAlignment="1">
      <alignment horizontal="center"/>
    </xf>
    <xf numFmtId="46" fontId="9" fillId="19" borderId="5" xfId="0" applyNumberFormat="1" applyFont="1" applyFill="1" applyBorder="1" applyAlignment="1">
      <alignment horizontal="center"/>
    </xf>
    <xf numFmtId="46" fontId="1" fillId="19" borderId="6" xfId="0" applyNumberFormat="1" applyFont="1" applyFill="1" applyBorder="1" applyAlignment="1">
      <alignment horizontal="center"/>
    </xf>
    <xf numFmtId="46" fontId="14" fillId="18" borderId="5" xfId="0" applyNumberFormat="1" applyFont="1" applyFill="1" applyBorder="1" applyAlignment="1">
      <alignment horizontal="center"/>
    </xf>
    <xf numFmtId="46" fontId="11" fillId="18" borderId="6" xfId="0" applyNumberFormat="1" applyFont="1" applyFill="1" applyBorder="1" applyAlignment="1">
      <alignment horizontal="center"/>
    </xf>
    <xf numFmtId="46" fontId="9" fillId="17" borderId="5" xfId="0" applyNumberFormat="1" applyFont="1" applyFill="1" applyBorder="1" applyAlignment="1">
      <alignment horizontal="center"/>
    </xf>
    <xf numFmtId="46" fontId="1" fillId="17" borderId="6" xfId="0" applyNumberFormat="1" applyFont="1" applyFill="1" applyBorder="1" applyAlignment="1">
      <alignment horizontal="center"/>
    </xf>
    <xf numFmtId="46" fontId="14" fillId="16" borderId="5" xfId="0" applyNumberFormat="1" applyFont="1" applyFill="1" applyBorder="1" applyAlignment="1">
      <alignment horizontal="center"/>
    </xf>
    <xf numFmtId="46" fontId="11" fillId="16" borderId="6" xfId="0" applyNumberFormat="1" applyFont="1" applyFill="1" applyBorder="1" applyAlignment="1">
      <alignment horizontal="center"/>
    </xf>
    <xf numFmtId="46" fontId="9" fillId="14" borderId="5" xfId="0" applyNumberFormat="1" applyFont="1" applyFill="1" applyBorder="1" applyAlignment="1">
      <alignment horizontal="center"/>
    </xf>
    <xf numFmtId="46" fontId="1" fillId="14" borderId="6" xfId="0" applyNumberFormat="1" applyFont="1" applyFill="1" applyBorder="1" applyAlignment="1">
      <alignment horizontal="center"/>
    </xf>
    <xf numFmtId="46" fontId="9" fillId="15" borderId="5" xfId="0" applyNumberFormat="1" applyFont="1" applyFill="1" applyBorder="1" applyAlignment="1">
      <alignment horizontal="center"/>
    </xf>
    <xf numFmtId="46" fontId="1" fillId="15" borderId="6" xfId="0" applyNumberFormat="1" applyFont="1" applyFill="1" applyBorder="1" applyAlignment="1">
      <alignment horizontal="center"/>
    </xf>
    <xf numFmtId="46" fontId="9" fillId="20" borderId="5" xfId="0" applyNumberFormat="1" applyFont="1" applyFill="1" applyBorder="1" applyAlignment="1">
      <alignment horizontal="center"/>
    </xf>
    <xf numFmtId="46" fontId="1" fillId="20" borderId="6" xfId="0" applyNumberFormat="1" applyFont="1" applyFill="1" applyBorder="1" applyAlignment="1">
      <alignment horizontal="center"/>
    </xf>
    <xf numFmtId="46" fontId="9" fillId="22" borderId="5" xfId="0" applyNumberFormat="1" applyFont="1" applyFill="1" applyBorder="1" applyAlignment="1">
      <alignment horizontal="center"/>
    </xf>
    <xf numFmtId="46" fontId="1" fillId="22" borderId="6" xfId="0" applyNumberFormat="1" applyFont="1" applyFill="1" applyBorder="1" applyAlignment="1">
      <alignment horizontal="center"/>
    </xf>
    <xf numFmtId="46" fontId="9" fillId="24" borderId="5" xfId="0" applyNumberFormat="1" applyFont="1" applyFill="1" applyBorder="1" applyAlignment="1">
      <alignment horizontal="center"/>
    </xf>
    <xf numFmtId="46" fontId="1" fillId="24" borderId="6" xfId="0" applyNumberFormat="1" applyFont="1" applyFill="1" applyBorder="1" applyAlignment="1">
      <alignment horizontal="center"/>
    </xf>
    <xf numFmtId="46" fontId="9" fillId="10" borderId="12" xfId="0" applyNumberFormat="1" applyFont="1" applyFill="1" applyBorder="1" applyAlignment="1">
      <alignment horizontal="center"/>
    </xf>
    <xf numFmtId="46" fontId="9" fillId="10" borderId="13" xfId="0" applyNumberFormat="1" applyFont="1" applyFill="1" applyBorder="1" applyAlignment="1">
      <alignment horizontal="center"/>
    </xf>
    <xf numFmtId="46" fontId="1" fillId="10" borderId="14" xfId="0" applyNumberFormat="1" applyFont="1" applyFill="1" applyBorder="1" applyAlignment="1">
      <alignment horizontal="center"/>
    </xf>
    <xf numFmtId="2" fontId="9" fillId="0" borderId="15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9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9" fillId="8" borderId="5" xfId="0" applyNumberFormat="1" applyFont="1" applyFill="1" applyBorder="1" applyAlignment="1">
      <alignment horizontal="center"/>
    </xf>
    <xf numFmtId="2" fontId="1" fillId="8" borderId="6" xfId="0" applyNumberFormat="1" applyFont="1" applyFill="1" applyBorder="1" applyAlignment="1">
      <alignment horizontal="center"/>
    </xf>
    <xf numFmtId="2" fontId="9" fillId="19" borderId="5" xfId="0" applyNumberFormat="1" applyFont="1" applyFill="1" applyBorder="1" applyAlignment="1">
      <alignment horizontal="center"/>
    </xf>
    <xf numFmtId="2" fontId="1" fillId="19" borderId="6" xfId="0" applyNumberFormat="1" applyFont="1" applyFill="1" applyBorder="1" applyAlignment="1">
      <alignment horizontal="center"/>
    </xf>
    <xf numFmtId="2" fontId="14" fillId="18" borderId="5" xfId="0" applyNumberFormat="1" applyFont="1" applyFill="1" applyBorder="1" applyAlignment="1">
      <alignment horizontal="center"/>
    </xf>
    <xf numFmtId="2" fontId="11" fillId="18" borderId="6" xfId="0" applyNumberFormat="1" applyFont="1" applyFill="1" applyBorder="1" applyAlignment="1">
      <alignment horizontal="center"/>
    </xf>
    <xf numFmtId="2" fontId="9" fillId="17" borderId="5" xfId="0" applyNumberFormat="1" applyFont="1" applyFill="1" applyBorder="1" applyAlignment="1">
      <alignment horizontal="center"/>
    </xf>
    <xf numFmtId="2" fontId="1" fillId="17" borderId="6" xfId="0" applyNumberFormat="1" applyFont="1" applyFill="1" applyBorder="1" applyAlignment="1">
      <alignment horizontal="center"/>
    </xf>
    <xf numFmtId="2" fontId="14" fillId="16" borderId="5" xfId="0" applyNumberFormat="1" applyFont="1" applyFill="1" applyBorder="1" applyAlignment="1">
      <alignment horizontal="center"/>
    </xf>
    <xf numFmtId="2" fontId="11" fillId="16" borderId="6" xfId="0" applyNumberFormat="1" applyFont="1" applyFill="1" applyBorder="1" applyAlignment="1">
      <alignment horizontal="center"/>
    </xf>
    <xf numFmtId="2" fontId="9" fillId="14" borderId="5" xfId="0" applyNumberFormat="1" applyFont="1" applyFill="1" applyBorder="1" applyAlignment="1">
      <alignment horizontal="center"/>
    </xf>
    <xf numFmtId="2" fontId="1" fillId="14" borderId="6" xfId="0" applyNumberFormat="1" applyFont="1" applyFill="1" applyBorder="1" applyAlignment="1">
      <alignment horizontal="center"/>
    </xf>
    <xf numFmtId="2" fontId="9" fillId="15" borderId="5" xfId="0" applyNumberFormat="1" applyFont="1" applyFill="1" applyBorder="1" applyAlignment="1">
      <alignment horizontal="center"/>
    </xf>
    <xf numFmtId="2" fontId="1" fillId="15" borderId="6" xfId="0" applyNumberFormat="1" applyFont="1" applyFill="1" applyBorder="1" applyAlignment="1">
      <alignment horizontal="center"/>
    </xf>
    <xf numFmtId="2" fontId="9" fillId="20" borderId="5" xfId="0" applyNumberFormat="1" applyFont="1" applyFill="1" applyBorder="1" applyAlignment="1">
      <alignment horizontal="center"/>
    </xf>
    <xf numFmtId="2" fontId="1" fillId="20" borderId="6" xfId="0" applyNumberFormat="1" applyFont="1" applyFill="1" applyBorder="1" applyAlignment="1">
      <alignment horizontal="center"/>
    </xf>
    <xf numFmtId="2" fontId="9" fillId="22" borderId="5" xfId="0" applyNumberFormat="1" applyFont="1" applyFill="1" applyBorder="1" applyAlignment="1">
      <alignment horizontal="center"/>
    </xf>
    <xf numFmtId="2" fontId="1" fillId="22" borderId="6" xfId="0" applyNumberFormat="1" applyFont="1" applyFill="1" applyBorder="1" applyAlignment="1">
      <alignment horizontal="center"/>
    </xf>
    <xf numFmtId="2" fontId="9" fillId="24" borderId="5" xfId="0" applyNumberFormat="1" applyFont="1" applyFill="1" applyBorder="1" applyAlignment="1">
      <alignment horizontal="center"/>
    </xf>
    <xf numFmtId="2" fontId="1" fillId="24" borderId="6" xfId="0" applyNumberFormat="1" applyFont="1" applyFill="1" applyBorder="1" applyAlignment="1">
      <alignment horizontal="center"/>
    </xf>
    <xf numFmtId="2" fontId="9" fillId="10" borderId="12" xfId="0" applyNumberFormat="1" applyFont="1" applyFill="1" applyBorder="1" applyAlignment="1">
      <alignment horizontal="center"/>
    </xf>
    <xf numFmtId="2" fontId="9" fillId="10" borderId="13" xfId="0" applyNumberFormat="1" applyFont="1" applyFill="1" applyBorder="1" applyAlignment="1">
      <alignment horizontal="center"/>
    </xf>
    <xf numFmtId="2" fontId="1" fillId="10" borderId="14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9" fillId="8" borderId="5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9" fillId="19" borderId="5" xfId="0" applyFont="1" applyFill="1" applyBorder="1" applyAlignment="1">
      <alignment horizontal="center"/>
    </xf>
    <xf numFmtId="0" fontId="1" fillId="19" borderId="6" xfId="0" applyFont="1" applyFill="1" applyBorder="1" applyAlignment="1">
      <alignment horizontal="center"/>
    </xf>
    <xf numFmtId="0" fontId="14" fillId="18" borderId="5" xfId="0" applyFont="1" applyFill="1" applyBorder="1" applyAlignment="1">
      <alignment horizontal="center"/>
    </xf>
    <xf numFmtId="0" fontId="11" fillId="18" borderId="6" xfId="0" applyFont="1" applyFill="1" applyBorder="1" applyAlignment="1">
      <alignment horizontal="center"/>
    </xf>
    <xf numFmtId="0" fontId="9" fillId="17" borderId="5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4" fillId="16" borderId="5" xfId="0" applyFont="1" applyFill="1" applyBorder="1" applyAlignment="1">
      <alignment horizontal="center"/>
    </xf>
    <xf numFmtId="0" fontId="11" fillId="16" borderId="6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1" fontId="9" fillId="15" borderId="5" xfId="0" applyNumberFormat="1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1" fontId="9" fillId="20" borderId="5" xfId="0" applyNumberFormat="1" applyFont="1" applyFill="1" applyBorder="1" applyAlignment="1">
      <alignment horizontal="center"/>
    </xf>
    <xf numFmtId="1" fontId="1" fillId="20" borderId="6" xfId="0" applyNumberFormat="1" applyFont="1" applyFill="1" applyBorder="1" applyAlignment="1">
      <alignment horizontal="center"/>
    </xf>
    <xf numFmtId="1" fontId="9" fillId="22" borderId="5" xfId="0" applyNumberFormat="1" applyFont="1" applyFill="1" applyBorder="1" applyAlignment="1">
      <alignment horizontal="center"/>
    </xf>
    <xf numFmtId="1" fontId="1" fillId="22" borderId="6" xfId="0" applyNumberFormat="1" applyFont="1" applyFill="1" applyBorder="1" applyAlignment="1">
      <alignment horizontal="center"/>
    </xf>
    <xf numFmtId="1" fontId="9" fillId="24" borderId="5" xfId="0" applyNumberFormat="1" applyFont="1" applyFill="1" applyBorder="1" applyAlignment="1">
      <alignment horizontal="center"/>
    </xf>
    <xf numFmtId="1" fontId="1" fillId="24" borderId="6" xfId="0" applyNumberFormat="1" applyFont="1" applyFill="1" applyBorder="1" applyAlignment="1">
      <alignment horizontal="center"/>
    </xf>
    <xf numFmtId="1" fontId="9" fillId="10" borderId="12" xfId="0" applyNumberFormat="1" applyFont="1" applyFill="1" applyBorder="1" applyAlignment="1">
      <alignment horizontal="center"/>
    </xf>
    <xf numFmtId="1" fontId="9" fillId="10" borderId="13" xfId="0" applyNumberFormat="1" applyFont="1" applyFill="1" applyBorder="1" applyAlignment="1">
      <alignment horizontal="center"/>
    </xf>
    <xf numFmtId="1" fontId="1" fillId="10" borderId="14" xfId="0" applyNumberFormat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2" fontId="1" fillId="8" borderId="24" xfId="0" applyNumberFormat="1" applyFont="1" applyFill="1" applyBorder="1" applyAlignment="1">
      <alignment horizontal="center"/>
    </xf>
    <xf numFmtId="2" fontId="1" fillId="19" borderId="24" xfId="0" applyNumberFormat="1" applyFont="1" applyFill="1" applyBorder="1" applyAlignment="1">
      <alignment horizontal="center"/>
    </xf>
    <xf numFmtId="2" fontId="11" fillId="18" borderId="24" xfId="0" applyNumberFormat="1" applyFont="1" applyFill="1" applyBorder="1" applyAlignment="1">
      <alignment horizontal="center"/>
    </xf>
    <xf numFmtId="2" fontId="1" fillId="17" borderId="24" xfId="0" applyNumberFormat="1" applyFont="1" applyFill="1" applyBorder="1" applyAlignment="1">
      <alignment horizontal="center"/>
    </xf>
    <xf numFmtId="2" fontId="11" fillId="16" borderId="24" xfId="0" applyNumberFormat="1" applyFont="1" applyFill="1" applyBorder="1" applyAlignment="1">
      <alignment horizontal="center"/>
    </xf>
    <xf numFmtId="2" fontId="1" fillId="14" borderId="24" xfId="0" applyNumberFormat="1" applyFont="1" applyFill="1" applyBorder="1" applyAlignment="1">
      <alignment horizontal="center"/>
    </xf>
    <xf numFmtId="2" fontId="1" fillId="15" borderId="24" xfId="0" applyNumberFormat="1" applyFont="1" applyFill="1" applyBorder="1" applyAlignment="1">
      <alignment horizontal="center"/>
    </xf>
    <xf numFmtId="2" fontId="1" fillId="20" borderId="24" xfId="0" applyNumberFormat="1" applyFont="1" applyFill="1" applyBorder="1" applyAlignment="1">
      <alignment horizontal="center"/>
    </xf>
    <xf numFmtId="2" fontId="1" fillId="22" borderId="24" xfId="0" applyNumberFormat="1" applyFont="1" applyFill="1" applyBorder="1" applyAlignment="1">
      <alignment horizontal="center"/>
    </xf>
    <xf numFmtId="2" fontId="1" fillId="24" borderId="24" xfId="0" applyNumberFormat="1" applyFont="1" applyFill="1" applyBorder="1" applyAlignment="1">
      <alignment horizontal="center"/>
    </xf>
    <xf numFmtId="2" fontId="1" fillId="10" borderId="25" xfId="0" applyNumberFormat="1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19" borderId="24" xfId="0" applyFont="1" applyFill="1" applyBorder="1" applyAlignment="1">
      <alignment horizontal="center"/>
    </xf>
    <xf numFmtId="0" fontId="1" fillId="0" borderId="56" xfId="0" applyFont="1" applyBorder="1" applyAlignment="1">
      <alignment horizontal="center"/>
    </xf>
    <xf numFmtId="3" fontId="9" fillId="0" borderId="4" xfId="0" applyNumberFormat="1" applyFont="1" applyBorder="1" applyAlignment="1">
      <alignment horizontal="center"/>
    </xf>
    <xf numFmtId="1" fontId="9" fillId="0" borderId="14" xfId="0" applyNumberFormat="1" applyFont="1" applyBorder="1" applyAlignment="1">
      <alignment horizontal="center"/>
    </xf>
    <xf numFmtId="3" fontId="9" fillId="0" borderId="6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12" xfId="0" applyFont="1" applyBorder="1"/>
    <xf numFmtId="0" fontId="9" fillId="0" borderId="2" xfId="0" applyFont="1" applyBorder="1"/>
    <xf numFmtId="0" fontId="9" fillId="0" borderId="7" xfId="0" applyFont="1" applyBorder="1"/>
    <xf numFmtId="0" fontId="9" fillId="0" borderId="1" xfId="0" applyFont="1" applyFill="1" applyBorder="1"/>
    <xf numFmtId="0" fontId="10" fillId="24" borderId="21" xfId="0" applyFont="1" applyFill="1" applyBorder="1" applyAlignment="1">
      <alignment horizontal="center"/>
    </xf>
    <xf numFmtId="0" fontId="13" fillId="16" borderId="21" xfId="0" applyFont="1" applyFill="1" applyBorder="1" applyAlignment="1">
      <alignment horizontal="center"/>
    </xf>
    <xf numFmtId="0" fontId="10" fillId="14" borderId="21" xfId="0" applyFont="1" applyFill="1" applyBorder="1" applyAlignment="1">
      <alignment horizontal="center" vertical="center"/>
    </xf>
    <xf numFmtId="0" fontId="10" fillId="22" borderId="21" xfId="0" applyFont="1" applyFill="1" applyBorder="1" applyAlignment="1">
      <alignment horizontal="center"/>
    </xf>
    <xf numFmtId="0" fontId="10" fillId="8" borderId="21" xfId="0" applyFont="1" applyFill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20" borderId="21" xfId="0" applyFont="1" applyFill="1" applyBorder="1" applyAlignment="1">
      <alignment horizontal="center"/>
    </xf>
    <xf numFmtId="0" fontId="13" fillId="18" borderId="21" xfId="0" applyFont="1" applyFill="1" applyBorder="1" applyAlignment="1">
      <alignment horizontal="center"/>
    </xf>
    <xf numFmtId="0" fontId="10" fillId="19" borderId="21" xfId="0" applyFont="1" applyFill="1" applyBorder="1" applyAlignment="1">
      <alignment horizontal="center"/>
    </xf>
    <xf numFmtId="0" fontId="10" fillId="17" borderId="21" xfId="0" applyFont="1" applyFill="1" applyBorder="1" applyAlignment="1">
      <alignment horizontal="center"/>
    </xf>
    <xf numFmtId="0" fontId="10" fillId="10" borderId="21" xfId="0" applyFont="1" applyFill="1" applyBorder="1" applyAlignment="1">
      <alignment horizontal="center"/>
    </xf>
    <xf numFmtId="0" fontId="10" fillId="0" borderId="24" xfId="0" applyFont="1" applyFill="1" applyBorder="1" applyAlignment="1">
      <alignment horizontal="center"/>
    </xf>
    <xf numFmtId="0" fontId="10" fillId="0" borderId="25" xfId="0" applyFont="1" applyFill="1" applyBorder="1" applyAlignment="1">
      <alignment horizontal="center"/>
    </xf>
    <xf numFmtId="0" fontId="10" fillId="0" borderId="56" xfId="0" applyFont="1" applyFill="1" applyBorder="1" applyAlignment="1">
      <alignment horizontal="center"/>
    </xf>
    <xf numFmtId="0" fontId="10" fillId="15" borderId="20" xfId="0" applyFont="1" applyFill="1" applyBorder="1" applyAlignment="1">
      <alignment horizontal="center"/>
    </xf>
    <xf numFmtId="1" fontId="9" fillId="15" borderId="7" xfId="0" applyNumberFormat="1" applyFont="1" applyFill="1" applyBorder="1" applyAlignment="1">
      <alignment horizont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Border="1"/>
    <xf numFmtId="0" fontId="4" fillId="0" borderId="0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23" borderId="1" xfId="0" applyFont="1" applyFill="1" applyBorder="1" applyAlignment="1">
      <alignment horizontal="center" vertical="center"/>
    </xf>
    <xf numFmtId="0" fontId="12" fillId="26" borderId="25" xfId="0" applyFont="1" applyFill="1" applyBorder="1" applyAlignment="1">
      <alignment horizontal="center"/>
    </xf>
    <xf numFmtId="1" fontId="14" fillId="26" borderId="40" xfId="0" applyNumberFormat="1" applyFont="1" applyFill="1" applyBorder="1" applyAlignment="1">
      <alignment horizontal="center"/>
    </xf>
    <xf numFmtId="1" fontId="11" fillId="26" borderId="45" xfId="0" applyNumberFormat="1" applyFont="1" applyFill="1" applyBorder="1" applyAlignment="1">
      <alignment horizontal="center"/>
    </xf>
    <xf numFmtId="46" fontId="14" fillId="26" borderId="12" xfId="0" applyNumberFormat="1" applyFont="1" applyFill="1" applyBorder="1" applyAlignment="1">
      <alignment horizontal="center"/>
    </xf>
    <xf numFmtId="46" fontId="14" fillId="26" borderId="59" xfId="0" applyNumberFormat="1" applyFont="1" applyFill="1" applyBorder="1" applyAlignment="1">
      <alignment horizontal="center"/>
    </xf>
    <xf numFmtId="46" fontId="11" fillId="26" borderId="60" xfId="0" applyNumberFormat="1" applyFont="1" applyFill="1" applyBorder="1" applyAlignment="1">
      <alignment horizontal="center"/>
    </xf>
    <xf numFmtId="2" fontId="14" fillId="26" borderId="58" xfId="0" applyNumberFormat="1" applyFont="1" applyFill="1" applyBorder="1" applyAlignment="1">
      <alignment horizontal="center"/>
    </xf>
    <xf numFmtId="2" fontId="14" fillId="26" borderId="60" xfId="0" applyNumberFormat="1" applyFont="1" applyFill="1" applyBorder="1" applyAlignment="1">
      <alignment horizontal="center"/>
    </xf>
    <xf numFmtId="2" fontId="11" fillId="26" borderId="60" xfId="0" applyNumberFormat="1" applyFont="1" applyFill="1" applyBorder="1" applyAlignment="1">
      <alignment horizontal="center"/>
    </xf>
    <xf numFmtId="1" fontId="14" fillId="26" borderId="61" xfId="0" applyNumberFormat="1" applyFont="1" applyFill="1" applyBorder="1" applyAlignment="1">
      <alignment horizontal="center"/>
    </xf>
    <xf numFmtId="1" fontId="14" fillId="26" borderId="60" xfId="0" applyNumberFormat="1" applyFont="1" applyFill="1" applyBorder="1" applyAlignment="1">
      <alignment horizontal="center"/>
    </xf>
    <xf numFmtId="1" fontId="11" fillId="26" borderId="62" xfId="0" applyNumberFormat="1" applyFont="1" applyFill="1" applyBorder="1" applyAlignment="1">
      <alignment horizontal="center"/>
    </xf>
    <xf numFmtId="2" fontId="11" fillId="26" borderId="63" xfId="0" applyNumberFormat="1" applyFont="1" applyFill="1" applyBorder="1" applyAlignment="1">
      <alignment horizontal="center"/>
    </xf>
    <xf numFmtId="1" fontId="9" fillId="0" borderId="6" xfId="0" applyNumberFormat="1" applyFont="1" applyBorder="1" applyAlignment="1">
      <alignment horizontal="center"/>
    </xf>
    <xf numFmtId="14" fontId="3" fillId="23" borderId="21" xfId="0" applyNumberFormat="1" applyFont="1" applyFill="1" applyBorder="1" applyAlignment="1">
      <alignment horizontal="center" vertical="center"/>
    </xf>
    <xf numFmtId="21" fontId="4" fillId="0" borderId="24" xfId="0" applyNumberFormat="1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21" fontId="4" fillId="0" borderId="44" xfId="0" applyNumberFormat="1" applyFont="1" applyFill="1" applyBorder="1" applyAlignment="1">
      <alignment horizontal="center" vertical="center"/>
    </xf>
    <xf numFmtId="2" fontId="4" fillId="0" borderId="44" xfId="0" applyNumberFormat="1" applyFont="1" applyFill="1" applyBorder="1" applyAlignment="1">
      <alignment horizontal="center" vertical="center"/>
    </xf>
    <xf numFmtId="0" fontId="4" fillId="0" borderId="6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4" fillId="0" borderId="25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14" fontId="3" fillId="23" borderId="45" xfId="0" applyNumberFormat="1" applyFont="1" applyFill="1" applyBorder="1" applyAlignment="1">
      <alignment horizontal="center" vertical="center" wrapText="1"/>
    </xf>
    <xf numFmtId="14" fontId="3" fillId="23" borderId="50" xfId="0" applyNumberFormat="1" applyFont="1" applyFill="1" applyBorder="1" applyAlignment="1">
      <alignment horizontal="center" vertical="center"/>
    </xf>
    <xf numFmtId="14" fontId="3" fillId="23" borderId="11" xfId="0" applyNumberFormat="1" applyFont="1" applyFill="1" applyBorder="1" applyAlignment="1">
      <alignment horizontal="center" vertical="center"/>
    </xf>
    <xf numFmtId="14" fontId="3" fillId="23" borderId="46" xfId="0" applyNumberFormat="1" applyFont="1" applyFill="1" applyBorder="1" applyAlignment="1">
      <alignment horizontal="center" vertical="center"/>
    </xf>
    <xf numFmtId="14" fontId="3" fillId="23" borderId="7" xfId="0" applyNumberFormat="1" applyFont="1" applyFill="1" applyBorder="1" applyAlignment="1">
      <alignment horizontal="center" vertical="center"/>
    </xf>
    <xf numFmtId="14" fontId="3" fillId="23" borderId="40" xfId="0" applyNumberFormat="1" applyFont="1" applyFill="1" applyBorder="1" applyAlignment="1">
      <alignment horizontal="center" vertical="center"/>
    </xf>
    <xf numFmtId="14" fontId="3" fillId="23" borderId="18" xfId="0" applyNumberFormat="1" applyFont="1" applyFill="1" applyBorder="1" applyAlignment="1">
      <alignment horizontal="center" vertical="center"/>
    </xf>
    <xf numFmtId="14" fontId="3" fillId="23" borderId="51" xfId="0" applyNumberFormat="1" applyFont="1" applyFill="1" applyBorder="1" applyAlignment="1">
      <alignment horizontal="center" vertical="center"/>
    </xf>
    <xf numFmtId="14" fontId="3" fillId="23" borderId="20" xfId="0" applyNumberFormat="1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/>
    </xf>
    <xf numFmtId="14" fontId="5" fillId="9" borderId="45" xfId="0" applyNumberFormat="1" applyFont="1" applyFill="1" applyBorder="1" applyAlignment="1">
      <alignment horizontal="center" vertical="center" wrapText="1"/>
    </xf>
    <xf numFmtId="14" fontId="5" fillId="9" borderId="40" xfId="0" applyNumberFormat="1" applyFont="1" applyFill="1" applyBorder="1" applyAlignment="1">
      <alignment horizontal="center" vertical="center" wrapText="1"/>
    </xf>
    <xf numFmtId="14" fontId="5" fillId="9" borderId="50" xfId="0" applyNumberFormat="1" applyFont="1" applyFill="1" applyBorder="1" applyAlignment="1">
      <alignment horizontal="center" vertical="center" wrapText="1"/>
    </xf>
    <xf numFmtId="14" fontId="5" fillId="9" borderId="18" xfId="0" applyNumberFormat="1" applyFont="1" applyFill="1" applyBorder="1" applyAlignment="1">
      <alignment horizontal="center" vertical="center" wrapText="1"/>
    </xf>
    <xf numFmtId="14" fontId="3" fillId="21" borderId="11" xfId="0" applyNumberFormat="1" applyFont="1" applyFill="1" applyBorder="1" applyAlignment="1">
      <alignment horizontal="center" vertical="center"/>
    </xf>
    <xf numFmtId="14" fontId="3" fillId="21" borderId="46" xfId="0" applyNumberFormat="1" applyFont="1" applyFill="1" applyBorder="1" applyAlignment="1">
      <alignment horizontal="center" vertical="center"/>
    </xf>
    <xf numFmtId="14" fontId="3" fillId="21" borderId="7" xfId="0" applyNumberFormat="1" applyFont="1" applyFill="1" applyBorder="1" applyAlignment="1">
      <alignment horizontal="center" vertical="center"/>
    </xf>
    <xf numFmtId="14" fontId="5" fillId="9" borderId="11" xfId="0" applyNumberFormat="1" applyFont="1" applyFill="1" applyBorder="1" applyAlignment="1">
      <alignment horizontal="center" vertical="center" wrapText="1"/>
    </xf>
    <xf numFmtId="14" fontId="5" fillId="9" borderId="46" xfId="0" applyNumberFormat="1" applyFont="1" applyFill="1" applyBorder="1" applyAlignment="1">
      <alignment horizontal="center" vertical="center" wrapText="1"/>
    </xf>
    <xf numFmtId="14" fontId="5" fillId="9" borderId="7" xfId="0" applyNumberFormat="1" applyFont="1" applyFill="1" applyBorder="1" applyAlignment="1">
      <alignment horizontal="center" vertical="center" wrapText="1"/>
    </xf>
    <xf numFmtId="14" fontId="3" fillId="13" borderId="11" xfId="0" applyNumberFormat="1" applyFont="1" applyFill="1" applyBorder="1" applyAlignment="1">
      <alignment horizontal="center" vertical="center"/>
    </xf>
    <xf numFmtId="14" fontId="3" fillId="13" borderId="46" xfId="0" applyNumberFormat="1" applyFont="1" applyFill="1" applyBorder="1" applyAlignment="1">
      <alignment horizontal="center" vertical="center"/>
    </xf>
    <xf numFmtId="14" fontId="3" fillId="13" borderId="7" xfId="0" applyNumberFormat="1" applyFont="1" applyFill="1" applyBorder="1" applyAlignment="1">
      <alignment horizontal="center" vertical="center"/>
    </xf>
    <xf numFmtId="14" fontId="4" fillId="9" borderId="11" xfId="0" applyNumberFormat="1" applyFont="1" applyFill="1" applyBorder="1" applyAlignment="1">
      <alignment horizontal="center" vertical="center" wrapText="1"/>
    </xf>
    <xf numFmtId="14" fontId="4" fillId="9" borderId="46" xfId="0" applyNumberFormat="1" applyFont="1" applyFill="1" applyBorder="1" applyAlignment="1">
      <alignment horizontal="center" vertical="center" wrapText="1"/>
    </xf>
    <xf numFmtId="14" fontId="4" fillId="9" borderId="7" xfId="0" applyNumberFormat="1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6B7B0"/>
      <color rgb="FFFF0000"/>
      <color rgb="FFFF0066"/>
      <color rgb="FF99FF66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cs-CZ"/>
              <a:t>Cesta kolem světa</a:t>
            </a:r>
          </a:p>
        </c:rich>
      </c:tx>
      <c:layout>
        <c:manualLayout>
          <c:xMode val="edge"/>
          <c:yMode val="edge"/>
          <c:x val="0.42604921511247879"/>
          <c:y val="3.14008423365683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655630923650192E-2"/>
          <c:y val="0.14251241345961055"/>
          <c:w val="0.9679922133608122"/>
          <c:h val="0.75604043072640847"/>
        </c:manualLayout>
      </c:layout>
      <c:barChart>
        <c:barDir val="bar"/>
        <c:grouping val="percentStacked"/>
        <c:varyColors val="0"/>
        <c:ser>
          <c:idx val="1"/>
          <c:order val="0"/>
          <c:tx>
            <c:v>Ujeto kolem světa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Statistiky!$R$5</c:f>
              <c:numCache>
                <c:formatCode>#,##0</c:formatCode>
                <c:ptCount val="1"/>
                <c:pt idx="0">
                  <c:v>34453.1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4D-4083-B61B-3FA5B0CFEA33}"/>
            </c:ext>
          </c:extLst>
        </c:ser>
        <c:ser>
          <c:idx val="0"/>
          <c:order val="1"/>
          <c:tx>
            <c:v>Zbývá k objetí planety</c:v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Statistiky!$R$4</c:f>
              <c:numCache>
                <c:formatCode>#,##0</c:formatCode>
                <c:ptCount val="1"/>
                <c:pt idx="0">
                  <c:v>5621.9000000000015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4D-4083-B61B-3FA5B0CFEA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91778048"/>
        <c:axId val="91779840"/>
      </c:barChart>
      <c:catAx>
        <c:axId val="91778048"/>
        <c:scaling>
          <c:orientation val="minMax"/>
        </c:scaling>
        <c:delete val="1"/>
        <c:axPos val="l"/>
        <c:majorTickMark val="out"/>
        <c:minorTickMark val="none"/>
        <c:tickLblPos val="nextTo"/>
        <c:crossAx val="91779840"/>
        <c:crosses val="autoZero"/>
        <c:auto val="1"/>
        <c:lblAlgn val="ctr"/>
        <c:lblOffset val="100"/>
        <c:noMultiLvlLbl val="0"/>
      </c:catAx>
      <c:valAx>
        <c:axId val="91779840"/>
        <c:scaling>
          <c:orientation val="minMax"/>
        </c:scaling>
        <c:delete val="1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crossAx val="91778048"/>
        <c:crosses val="autoZero"/>
        <c:crossBetween val="between"/>
      </c:valAx>
      <c:spPr>
        <a:blipFill dpi="0" rotWithShape="0">
          <a:blip xmlns:r="http://schemas.openxmlformats.org/officeDocument/2006/relationships" r:embed="rId1"/>
          <a:srcRect/>
          <a:stretch>
            <a:fillRect/>
          </a:stretch>
        </a:blip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532011946782514"/>
          <c:y val="0.92512342933877456"/>
          <c:w val="0.29470238633963852"/>
          <c:h val="5.797124196684722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7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cs-CZ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868285214348207"/>
          <c:y val="5.1400554097404488E-2"/>
          <c:w val="0.86724916885389325"/>
          <c:h val="0.83277492997939018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Statistiky!$A$5</c:f>
              <c:strCache>
                <c:ptCount val="1"/>
                <c:pt idx="0">
                  <c:v>2013</c:v>
                </c:pt>
              </c:strCache>
            </c:strRef>
          </c:tx>
          <c:spPr>
            <a:blipFill>
              <a:blip xmlns:r="http://schemas.openxmlformats.org/officeDocument/2006/relationships" r:embed="rId1"/>
              <a:tile tx="0" ty="0" sx="100000" sy="100000" flip="none" algn="tl"/>
            </a:blipFill>
          </c:spPr>
          <c:invertIfNegative val="0"/>
          <c:dPt>
            <c:idx val="0"/>
            <c:invertIfNegative val="0"/>
            <c:bubble3D val="0"/>
            <c:spPr>
              <a:blipFill dpi="0" rotWithShape="1">
                <a:blip xmlns:r="http://schemas.openxmlformats.org/officeDocument/2006/relationships" r:embed="rId1">
                  <a:alphaModFix amt="84000"/>
                </a:blip>
                <a:srcRect/>
                <a:tile tx="0" ty="0" sx="100000" sy="100000" flip="none" algn="tl"/>
              </a:blipFill>
            </c:spPr>
            <c:extLst>
              <c:ext xmlns:c16="http://schemas.microsoft.com/office/drawing/2014/chart" uri="{C3380CC4-5D6E-409C-BE32-E72D297353CC}">
                <c16:uniqueId val="{00000000-7D44-4B6F-876C-A666A97209E0}"/>
              </c:ext>
            </c:extLst>
          </c:dPt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Statistiky!$K$5</c:f>
              <c:numCache>
                <c:formatCode>General</c:formatCode>
                <c:ptCount val="1"/>
                <c:pt idx="0">
                  <c:v>11385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44-4B6F-876C-A666A97209E0}"/>
            </c:ext>
          </c:extLst>
        </c:ser>
        <c:ser>
          <c:idx val="0"/>
          <c:order val="1"/>
          <c:tx>
            <c:strRef>
              <c:f>Statistiky!$A$6</c:f>
              <c:strCache>
                <c:ptCount val="1"/>
                <c:pt idx="0">
                  <c:v>2014</c:v>
                </c:pt>
              </c:strCache>
            </c:strRef>
          </c:tx>
          <c:spPr>
            <a:blipFill dpi="0" rotWithShape="1">
              <a:blip xmlns:r="http://schemas.openxmlformats.org/officeDocument/2006/relationships" r:embed="rId2">
                <a:alphaModFix amt="74000"/>
              </a:blip>
              <a:srcRect/>
              <a:tile tx="0" ty="0" sx="100000" sy="100000" flip="none" algn="tl"/>
            </a:blip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Statistiky!$K$6</c:f>
              <c:numCache>
                <c:formatCode>General</c:formatCode>
                <c:ptCount val="1"/>
                <c:pt idx="0">
                  <c:v>24437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44-4B6F-876C-A666A97209E0}"/>
            </c:ext>
          </c:extLst>
        </c:ser>
        <c:ser>
          <c:idx val="2"/>
          <c:order val="2"/>
          <c:tx>
            <c:v>2015</c:v>
          </c:tx>
          <c:spPr>
            <a:blipFill>
              <a:blip xmlns:r="http://schemas.openxmlformats.org/officeDocument/2006/relationships" r:embed="rId3"/>
              <a:tile tx="0" ty="0" sx="100000" sy="100000" flip="none" algn="tl"/>
            </a:blipFill>
          </c:spPr>
          <c:invertIfNegative val="0"/>
          <c:dLbls>
            <c:dLbl>
              <c:idx val="0"/>
              <c:layout>
                <c:manualLayout>
                  <c:x val="-7.4487895716945996E-3"/>
                  <c:y val="-2.3148148148148147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44-4B6F-876C-A666A97209E0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Statistiky!$K$7</c:f>
              <c:numCache>
                <c:formatCode>General</c:formatCode>
                <c:ptCount val="1"/>
                <c:pt idx="0">
                  <c:v>18623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D44-4B6F-876C-A666A97209E0}"/>
            </c:ext>
          </c:extLst>
        </c:ser>
        <c:ser>
          <c:idx val="3"/>
          <c:order val="3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spPr>
            <a:blipFill>
              <a:blip xmlns:r="http://schemas.openxmlformats.org/officeDocument/2006/relationships" r:embed="rId4"/>
              <a:tile tx="0" ty="0" sx="100000" sy="100000" flip="none" algn="tl"/>
            </a:blip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Statistiky!$K$8</c:f>
              <c:numCache>
                <c:formatCode>General</c:formatCode>
                <c:ptCount val="1"/>
                <c:pt idx="0">
                  <c:v>21711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D44-4B6F-876C-A666A97209E0}"/>
            </c:ext>
          </c:extLst>
        </c:ser>
        <c:ser>
          <c:idx val="4"/>
          <c:order val="4"/>
          <c:tx>
            <c:v>2017</c:v>
          </c:tx>
          <c:spPr>
            <a:blipFill>
              <a:blip xmlns:r="http://schemas.openxmlformats.org/officeDocument/2006/relationships" r:embed="rId5"/>
              <a:tile tx="0" ty="0" sx="100000" sy="100000" flip="none" algn="tl"/>
            </a:blip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79-46AC-8D29-29D217364711}"/>
              </c:ext>
            </c:extLst>
          </c:dPt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Statistiky!$K$9</c:f>
              <c:numCache>
                <c:formatCode>General</c:formatCode>
                <c:ptCount val="1"/>
                <c:pt idx="0">
                  <c:v>19000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D44-4B6F-876C-A666A97209E0}"/>
            </c:ext>
          </c:extLst>
        </c:ser>
        <c:ser>
          <c:idx val="5"/>
          <c:order val="5"/>
          <c:tx>
            <c:v>2018</c:v>
          </c:tx>
          <c:spPr>
            <a:pattFill prst="horzBrick">
              <a:fgClr>
                <a:schemeClr val="accent1"/>
              </a:fgClr>
              <a:bgClr>
                <a:schemeClr val="bg1"/>
              </a:bgClr>
            </a:patt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Statistiky!$K$10</c:f>
              <c:numCache>
                <c:formatCode>General</c:formatCode>
                <c:ptCount val="1"/>
                <c:pt idx="0">
                  <c:v>31182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2C5-4D8E-855D-8477E09A103A}"/>
            </c:ext>
          </c:extLst>
        </c:ser>
        <c:ser>
          <c:idx val="6"/>
          <c:order val="6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blipFill>
              <a:blip xmlns:r="http://schemas.openxmlformats.org/officeDocument/2006/relationships" r:embed="rId6"/>
              <a:tile tx="0" ty="0" sx="100000" sy="100000" flip="none" algn="tl"/>
            </a:blip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Statistiky!$K$11</c:f>
              <c:numCache>
                <c:formatCode>General</c:formatCode>
                <c:ptCount val="1"/>
                <c:pt idx="0">
                  <c:v>26587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367-40F7-AB13-0195D358153B}"/>
            </c:ext>
          </c:extLst>
        </c:ser>
        <c:ser>
          <c:idx val="7"/>
          <c:order val="7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Statistiky!$K$12</c:f>
              <c:numCache>
                <c:formatCode>0</c:formatCode>
                <c:ptCount val="1"/>
                <c:pt idx="0">
                  <c:v>36162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FA-423D-80DA-FB64A3B97080}"/>
            </c:ext>
          </c:extLst>
        </c:ser>
        <c:ser>
          <c:idx val="8"/>
          <c:order val="8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Statistiky!$K$13</c:f>
              <c:numCache>
                <c:formatCode>0</c:formatCode>
                <c:ptCount val="1"/>
                <c:pt idx="0">
                  <c:v>25985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19F-472D-8C92-C7E53EBA0B65}"/>
            </c:ext>
          </c:extLst>
        </c:ser>
        <c:ser>
          <c:idx val="9"/>
          <c:order val="9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26D-4897-8FA9-3EF71F1E13C1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Statistiky!$K$14</c:f>
              <c:numCache>
                <c:formatCode>0</c:formatCode>
                <c:ptCount val="1"/>
                <c:pt idx="0">
                  <c:v>32658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6D-4897-8FA9-3EF71F1E13C1}"/>
            </c:ext>
          </c:extLst>
        </c:ser>
        <c:ser>
          <c:idx val="10"/>
          <c:order val="10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881-47ED-903F-DDA674426BF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Statistiky!$K$2</c:f>
              <c:strCache>
                <c:ptCount val="1"/>
                <c:pt idx="0">
                  <c:v>Bez Elišky</c:v>
                </c:pt>
              </c:strCache>
            </c:strRef>
          </c:cat>
          <c:val>
            <c:numRef>
              <c:f>Statistiky!$K$15</c:f>
              <c:numCache>
                <c:formatCode>0</c:formatCode>
                <c:ptCount val="1"/>
                <c:pt idx="0">
                  <c:v>32369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8-44D5-83B0-F989B6B0D329}"/>
            </c:ext>
          </c:extLst>
        </c:ser>
        <c:ser>
          <c:idx val="11"/>
          <c:order val="11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Statistiky!$K$16</c:f>
              <c:numCache>
                <c:formatCode>0</c:formatCode>
                <c:ptCount val="1"/>
                <c:pt idx="0">
                  <c:v>25971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96-4677-A882-04F8FDB1C82D}"/>
            </c:ext>
          </c:extLst>
        </c:ser>
        <c:ser>
          <c:idx val="12"/>
          <c:order val="12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9BFE-42E3-8971-FA6F7152340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Statistiky!$K$17</c:f>
              <c:numCache>
                <c:formatCode>0</c:formatCode>
                <c:ptCount val="1"/>
                <c:pt idx="0">
                  <c:v>16333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BFE-42E3-8971-FA6F71523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180288"/>
        <c:axId val="93181824"/>
      </c:barChart>
      <c:catAx>
        <c:axId val="931802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3181824"/>
        <c:crosses val="autoZero"/>
        <c:auto val="1"/>
        <c:lblAlgn val="ctr"/>
        <c:lblOffset val="100"/>
        <c:noMultiLvlLbl val="0"/>
      </c:catAx>
      <c:valAx>
        <c:axId val="93181824"/>
        <c:scaling>
          <c:orientation val="minMax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3180288"/>
        <c:crosses val="autoZero"/>
        <c:crossBetween val="between"/>
      </c:valAx>
    </c:plotArea>
    <c:legend>
      <c:legendPos val="b"/>
      <c:overlay val="0"/>
    </c:legend>
    <c:plotVisOnly val="0"/>
    <c:dispBlanksAs val="zero"/>
    <c:showDLblsOverMax val="0"/>
  </c:chart>
  <c:spPr>
    <a:solidFill>
      <a:srgbClr val="FFFFFF"/>
    </a:solidFill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0"/>
      <c:rotY val="0"/>
      <c:depthPercent val="100"/>
      <c:rAngAx val="0"/>
      <c:perspective val="7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1.1111111111111112E-2"/>
                  <c:y val="1.8518518518518517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0C-4508-8DD5-4D6A82A96577}"/>
                </c:ext>
              </c:extLst>
            </c:dLbl>
            <c:dLbl>
              <c:idx val="1"/>
              <c:layout>
                <c:manualLayout>
                  <c:x val="0"/>
                  <c:y val="-2.3148148148148147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30C-4508-8DD5-4D6A82A96577}"/>
                </c:ext>
              </c:extLst>
            </c:dLbl>
            <c:dLbl>
              <c:idx val="2"/>
              <c:layout>
                <c:manualLayout>
                  <c:x val="5.5555555555555558E-3"/>
                  <c:y val="1.3888888888888888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30C-4508-8DD5-4D6A82A96577}"/>
                </c:ext>
              </c:extLst>
            </c:dLbl>
            <c:dLbl>
              <c:idx val="10"/>
              <c:layout>
                <c:manualLayout>
                  <c:x val="0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909-45CE-B0F2-8653FE147772}"/>
                </c:ext>
              </c:extLst>
            </c:dLbl>
            <c:dLbl>
              <c:idx val="16"/>
              <c:layout>
                <c:manualLayout>
                  <c:x val="4.459308807134894E-3"/>
                  <c:y val="-9.25925925925928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9EC-4FA6-A1CD-1ACD0FE4723C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Statistiky!$A$3:$A$17</c:f>
              <c:numCache>
                <c:formatCode>General</c:formatCode>
                <c:ptCount val="15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  <c:pt idx="14">
                  <c:v>2025</c:v>
                </c:pt>
              </c:numCache>
            </c:numRef>
          </c:cat>
          <c:val>
            <c:numRef>
              <c:f>Statistiky!$D$3:$D$17</c:f>
              <c:numCache>
                <c:formatCode>0</c:formatCode>
                <c:ptCount val="15"/>
                <c:pt idx="0">
                  <c:v>1690.22</c:v>
                </c:pt>
                <c:pt idx="1">
                  <c:v>2220.5300000000002</c:v>
                </c:pt>
                <c:pt idx="2">
                  <c:v>1626.93</c:v>
                </c:pt>
                <c:pt idx="3">
                  <c:v>2580.5500000000006</c:v>
                </c:pt>
                <c:pt idx="4">
                  <c:v>1708.2399999999993</c:v>
                </c:pt>
                <c:pt idx="5">
                  <c:v>2001.8199999999993</c:v>
                </c:pt>
                <c:pt idx="6">
                  <c:v>1660.56</c:v>
                </c:pt>
                <c:pt idx="7">
                  <c:v>2865.6899999999996</c:v>
                </c:pt>
                <c:pt idx="8">
                  <c:v>2816.1099999999979</c:v>
                </c:pt>
                <c:pt idx="9">
                  <c:v>3296.05</c:v>
                </c:pt>
                <c:pt idx="10">
                  <c:v>2145.9699999999998</c:v>
                </c:pt>
                <c:pt idx="11">
                  <c:v>2771.7899999999995</c:v>
                </c:pt>
                <c:pt idx="12">
                  <c:v>2868.16</c:v>
                </c:pt>
                <c:pt idx="13">
                  <c:v>2624.93</c:v>
                </c:pt>
                <c:pt idx="14">
                  <c:v>1575.55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30C-4508-8DD5-4D6A82A96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93473408"/>
        <c:axId val="93483392"/>
        <c:axId val="0"/>
      </c:bar3DChart>
      <c:catAx>
        <c:axId val="934734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93483392"/>
        <c:crosses val="autoZero"/>
        <c:auto val="1"/>
        <c:lblAlgn val="ctr"/>
        <c:lblOffset val="100"/>
        <c:noMultiLvlLbl val="0"/>
      </c:catAx>
      <c:valAx>
        <c:axId val="9348339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347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Průměrná rychlost</a:t>
            </a:r>
            <a:r>
              <a:rPr lang="cs-CZ"/>
              <a:t> (bez Elišky)</a:t>
            </a:r>
            <a:endParaRPr lang="en-US"/>
          </a:p>
        </c:rich>
      </c:tx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Statistiky!$H$2</c:f>
              <c:strCache>
                <c:ptCount val="1"/>
                <c:pt idx="0">
                  <c:v>Bez Elišky</c:v>
                </c:pt>
              </c:strCache>
            </c:strRef>
          </c:tx>
          <c:spPr>
            <a:ln w="28575">
              <a:noFill/>
            </a:ln>
          </c:spPr>
          <c:dLbls>
            <c:dLbl>
              <c:idx val="0"/>
              <c:layout>
                <c:manualLayout>
                  <c:x val="3.6111204546033678E-2"/>
                  <c:y val="-0.3004962524014395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B7-4CDC-86A9-6F674C29DF10}"/>
                </c:ext>
              </c:extLst>
            </c:dLbl>
            <c:dLbl>
              <c:idx val="1"/>
              <c:layout>
                <c:manualLayout>
                  <c:x val="0"/>
                  <c:y val="-0.15277777777777779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B7-4CDC-86A9-6F674C29DF10}"/>
                </c:ext>
              </c:extLst>
            </c:dLbl>
            <c:dLbl>
              <c:idx val="2"/>
              <c:layout>
                <c:manualLayout>
                  <c:x val="0"/>
                  <c:y val="-0.1111111111111111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B7-4CDC-86A9-6F674C29DF10}"/>
                </c:ext>
              </c:extLst>
            </c:dLbl>
            <c:dLbl>
              <c:idx val="3"/>
              <c:layout>
                <c:manualLayout>
                  <c:x val="2.4600246002460025E-3"/>
                  <c:y val="-0.14840931717391134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B7-4CDC-86A9-6F674C29DF10}"/>
                </c:ext>
              </c:extLst>
            </c:dLbl>
            <c:dLbl>
              <c:idx val="4"/>
              <c:layout>
                <c:manualLayout>
                  <c:x val="0"/>
                  <c:y val="-0.1498896650457879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cs-CZ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B7-4CDC-86A9-6F674C29DF10}"/>
                </c:ext>
              </c:extLst>
            </c:dLbl>
            <c:dLbl>
              <c:idx val="5"/>
              <c:layout>
                <c:manualLayout>
                  <c:x val="0"/>
                  <c:y val="-0.137931034482758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7E-4AB8-A3FC-59D2A3DF6BC0}"/>
                </c:ext>
              </c:extLst>
            </c:dLbl>
            <c:dLbl>
              <c:idx val="6"/>
              <c:layout>
                <c:manualLayout>
                  <c:x val="-2.2140221402214021E-2"/>
                  <c:y val="-0.246603970741901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AD-44DB-9AC5-D3C62EAD8BBB}"/>
                </c:ext>
              </c:extLst>
            </c:dLbl>
            <c:dLbl>
              <c:idx val="7"/>
              <c:layout>
                <c:manualLayout>
                  <c:x val="-1.4760147601476014E-2"/>
                  <c:y val="-0.286160656250257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01-4BBB-A1A6-95C8809E8880}"/>
                </c:ext>
              </c:extLst>
            </c:dLbl>
            <c:dLbl>
              <c:idx val="8"/>
              <c:layout>
                <c:manualLayout>
                  <c:x val="-1.4760147601476014E-2"/>
                  <c:y val="-0.271682340647857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068-422A-AA8B-E16607C14729}"/>
                </c:ext>
              </c:extLst>
            </c:dLbl>
            <c:dLbl>
              <c:idx val="9"/>
              <c:layout>
                <c:manualLayout>
                  <c:x val="-7.3800738007380072E-3"/>
                  <c:y val="-0.2131661442006269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68-422A-AA8B-E16607C14729}"/>
                </c:ext>
              </c:extLst>
            </c:dLbl>
            <c:dLbl>
              <c:idx val="10"/>
              <c:layout>
                <c:manualLayout>
                  <c:x val="7.3800738007380072E-3"/>
                  <c:y val="-0.2884012539184953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161-44A0-B705-DF840FA00987}"/>
                </c:ext>
              </c:extLst>
            </c:dLbl>
            <c:dLbl>
              <c:idx val="11"/>
              <c:layout>
                <c:manualLayout>
                  <c:x val="0"/>
                  <c:y val="-0.2675026123301985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D6F-404F-B1CA-B8BF3767C44E}"/>
                </c:ext>
              </c:extLst>
            </c:dLbl>
            <c:dLbl>
              <c:idx val="12"/>
              <c:layout>
                <c:manualLayout>
                  <c:x val="-2.0654044750430461E-2"/>
                  <c:y val="-0.3176593521421107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3A-4CF8-836B-9AF3FCAC75D2}"/>
                </c:ext>
              </c:extLst>
            </c:dLbl>
            <c:dLbl>
              <c:idx val="13"/>
              <c:layout>
                <c:manualLayout>
                  <c:x val="-1.6829027238140025E-16"/>
                  <c:y val="-0.2967607105538140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113-4E3D-9009-C123E43DD591}"/>
                </c:ext>
              </c:extLst>
            </c:dLbl>
            <c:dLbl>
              <c:idx val="14"/>
              <c:layout>
                <c:manualLayout>
                  <c:x val="4.5897877223176741E-3"/>
                  <c:y val="-0.2800417972831766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85-4713-932C-35384D1C162F}"/>
                </c:ext>
              </c:extLst>
            </c:dLbl>
            <c:spPr>
              <a:noFill/>
              <a:ln w="25400"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Statistiky!$A$3:$A$17</c:f>
              <c:numCache>
                <c:formatCode>General</c:formatCode>
                <c:ptCount val="15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  <c:pt idx="12">
                  <c:v>2023</c:v>
                </c:pt>
                <c:pt idx="13">
                  <c:v>2024</c:v>
                </c:pt>
                <c:pt idx="14">
                  <c:v>2025</c:v>
                </c:pt>
              </c:numCache>
            </c:numRef>
          </c:cat>
          <c:val>
            <c:numRef>
              <c:f>Statistiky!$H$3:$H$17</c:f>
              <c:numCache>
                <c:formatCode>0.00</c:formatCode>
                <c:ptCount val="15"/>
                <c:pt idx="0">
                  <c:v>21.634166666666662</c:v>
                </c:pt>
                <c:pt idx="1">
                  <c:v>20.977170138888891</c:v>
                </c:pt>
                <c:pt idx="2">
                  <c:v>19.4921875</c:v>
                </c:pt>
                <c:pt idx="3">
                  <c:v>19.324913793103452</c:v>
                </c:pt>
                <c:pt idx="4">
                  <c:v>19.150192307692297</c:v>
                </c:pt>
                <c:pt idx="5">
                  <c:v>18.516129032258064</c:v>
                </c:pt>
                <c:pt idx="6">
                  <c:v>19.443333333333335</c:v>
                </c:pt>
                <c:pt idx="7">
                  <c:v>20.10684466019417</c:v>
                </c:pt>
                <c:pt idx="8">
                  <c:v>20.270315789473681</c:v>
                </c:pt>
                <c:pt idx="9">
                  <c:v>20.405138966386552</c:v>
                </c:pt>
                <c:pt idx="10">
                  <c:v>19.383000000000006</c:v>
                </c:pt>
                <c:pt idx="11">
                  <c:v>19.636790123456795</c:v>
                </c:pt>
                <c:pt idx="12">
                  <c:v>20.092873563218394</c:v>
                </c:pt>
                <c:pt idx="13">
                  <c:v>19.809999999999999</c:v>
                </c:pt>
                <c:pt idx="14">
                  <c:v>20.161282051282051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6B7-4CDC-86A9-6F674C29DF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615232"/>
        <c:axId val="93616768"/>
      </c:areaChart>
      <c:catAx>
        <c:axId val="93615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3616768"/>
        <c:crosses val="autoZero"/>
        <c:auto val="1"/>
        <c:lblAlgn val="ctr"/>
        <c:lblOffset val="100"/>
        <c:tickMarkSkip val="1"/>
        <c:noMultiLvlLbl val="0"/>
      </c:catAx>
      <c:valAx>
        <c:axId val="93616768"/>
        <c:scaling>
          <c:orientation val="minMax"/>
          <c:min val="1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crossAx val="93615232"/>
        <c:crosses val="autoZero"/>
        <c:crossBetween val="midCat"/>
        <c:majorUnit val="5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cs-CZ" sz="1100"/>
              <a:t>Průměrná rychlost podle nastoupaných metrů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2014</c:v>
          </c:tx>
          <c:invertIfNegative val="0"/>
          <c:dLbls>
            <c:dLbl>
              <c:idx val="0"/>
              <c:layout>
                <c:manualLayout>
                  <c:x val="-2.777777777777778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EC-4135-9B80-BE716F545161}"/>
                </c:ext>
              </c:extLst>
            </c:dLbl>
            <c:dLbl>
              <c:idx val="1"/>
              <c:layout>
                <c:manualLayout>
                  <c:x val="0"/>
                  <c:y val="-7.7892325315005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EEC-4135-9B80-BE716F545161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'2014'!$B$85:$B$87</c:f>
              <c:numCache>
                <c:formatCode>0.00</c:formatCode>
                <c:ptCount val="3"/>
                <c:pt idx="0">
                  <c:v>20.83608108108108</c:v>
                </c:pt>
                <c:pt idx="1">
                  <c:v>18.185833333333335</c:v>
                </c:pt>
                <c:pt idx="2">
                  <c:v>18.811428571428571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DB-43E9-A5F2-2B3192F44991}"/>
            </c:ext>
          </c:extLst>
        </c:ser>
        <c:ser>
          <c:idx val="1"/>
          <c:order val="1"/>
          <c:tx>
            <c:v>2015</c:v>
          </c:tx>
          <c:invertIfNegative val="0"/>
          <c:dLbls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'2015'!$B$83:$B$85</c:f>
              <c:numCache>
                <c:formatCode>0.00</c:formatCode>
                <c:ptCount val="3"/>
                <c:pt idx="0">
                  <c:v>18.330816326530602</c:v>
                </c:pt>
                <c:pt idx="1">
                  <c:v>17.920000000000002</c:v>
                </c:pt>
                <c:pt idx="2">
                  <c:v>16.47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DB-43E9-A5F2-2B3192F44991}"/>
            </c:ext>
          </c:extLst>
        </c:ser>
        <c:ser>
          <c:idx val="0"/>
          <c:order val="2"/>
          <c:tx>
            <c:v>2016</c:v>
          </c:tx>
          <c:invertIfNegative val="0"/>
          <c:dLbls>
            <c:dLbl>
              <c:idx val="0"/>
              <c:layout>
                <c:manualLayout>
                  <c:x val="-8.3333333333333332E-3"/>
                  <c:y val="-0.1145475372279495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EEC-4135-9B80-BE716F545161}"/>
                </c:ext>
              </c:extLst>
            </c:dLbl>
            <c:dLbl>
              <c:idx val="1"/>
              <c:layout>
                <c:manualLayout>
                  <c:x val="-3.371259560971813E-3"/>
                  <c:y val="-0.1383647798742138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EEC-4135-9B80-BE716F545161}"/>
                </c:ext>
              </c:extLst>
            </c:dLbl>
            <c:dLbl>
              <c:idx val="2"/>
              <c:layout>
                <c:manualLayout>
                  <c:x val="0"/>
                  <c:y val="-4.19287211740041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D7B-45E0-8A66-F5C2F7A06345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'2016'!$B$87:$B$89</c:f>
              <c:strCache>
                <c:ptCount val="3"/>
                <c:pt idx="0">
                  <c:v>Pod 500 metrů</c:v>
                </c:pt>
                <c:pt idx="1">
                  <c:v>Mezi 500 a 1000 metry</c:v>
                </c:pt>
                <c:pt idx="2">
                  <c:v>Nad 1000 metrů</c:v>
                </c:pt>
              </c:strCache>
            </c:strRef>
          </c:cat>
          <c:val>
            <c:numRef>
              <c:f>'2016'!$C$87:$C$89</c:f>
              <c:numCache>
                <c:formatCode>0.00</c:formatCode>
                <c:ptCount val="3"/>
                <c:pt idx="0">
                  <c:v>18.918399999999998</c:v>
                </c:pt>
                <c:pt idx="1">
                  <c:v>16.907142857142855</c:v>
                </c:pt>
                <c:pt idx="2">
                  <c:v>16.746000000000002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DB-43E9-A5F2-2B3192F44991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'2017'!$C$87:$C$89</c:f>
              <c:numCache>
                <c:formatCode>0.00</c:formatCode>
                <c:ptCount val="3"/>
                <c:pt idx="0">
                  <c:v>20.190249999999999</c:v>
                </c:pt>
                <c:pt idx="1">
                  <c:v>18.137</c:v>
                </c:pt>
                <c:pt idx="2">
                  <c:v>15.239999999999998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DB-43E9-A5F2-2B3192F44991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-9.4766902619442128E-5"/>
                  <c:y val="-5.49827497977847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DE5-4E81-BACB-B8F1228C5FA8}"/>
                </c:ext>
              </c:extLst>
            </c:dLbl>
            <c:dLbl>
              <c:idx val="1"/>
              <c:layout>
                <c:manualLayout>
                  <c:x val="-6.1805711299631081E-17"/>
                  <c:y val="-2.51572327044025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EEC-4135-9B80-BE716F545161}"/>
                </c:ext>
              </c:extLst>
            </c:dLbl>
            <c:dLbl>
              <c:idx val="2"/>
              <c:layout>
                <c:manualLayout>
                  <c:x val="-1.6856297804858755E-3"/>
                  <c:y val="-3.77358490566038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'2018'!$C$132:$C$134</c:f>
              <c:numCache>
                <c:formatCode>0.00</c:formatCode>
                <c:ptCount val="3"/>
                <c:pt idx="0">
                  <c:v>20.196436170212763</c:v>
                </c:pt>
                <c:pt idx="1">
                  <c:v>19.344999999999999</c:v>
                </c:pt>
                <c:pt idx="2">
                  <c:v>16.242000000000001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9-4E12-8931-3DECEA9DA3E4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3.680247445142705E-3"/>
                  <c:y val="-9.37991713299988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EC-4135-9B80-BE716F545161}"/>
                </c:ext>
              </c:extLst>
            </c:dLbl>
            <c:dLbl>
              <c:idx val="2"/>
              <c:layout>
                <c:manualLayout>
                  <c:x val="-1.6856297804858755E-3"/>
                  <c:y val="-2.51572327044025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'2019'!$C$153:$C$155</c:f>
              <c:numCache>
                <c:formatCode>0.00</c:formatCode>
                <c:ptCount val="3"/>
                <c:pt idx="0">
                  <c:v>20.669473684210523</c:v>
                </c:pt>
                <c:pt idx="1">
                  <c:v>17.8825</c:v>
                </c:pt>
                <c:pt idx="2">
                  <c:v>15.395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0-483F-BBB0-4E997A656332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dLbl>
              <c:idx val="0"/>
              <c:layout>
                <c:manualLayout>
                  <c:x val="1.6856297804858445E-3"/>
                  <c:y val="-3.7735849056603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B-45E0-8A66-F5C2F7A06345}"/>
                </c:ext>
              </c:extLst>
            </c:dLbl>
            <c:dLbl>
              <c:idx val="1"/>
              <c:layout>
                <c:manualLayout>
                  <c:x val="1.6856297804858137E-3"/>
                  <c:y val="-5.03144654088050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D7B-45E0-8A66-F5C2F7A06345}"/>
                </c:ext>
              </c:extLst>
            </c:dLbl>
            <c:dLbl>
              <c:idx val="2"/>
              <c:layout>
                <c:manualLayout>
                  <c:x val="-3.371259560971751E-3"/>
                  <c:y val="8.38574423480083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D7B-45E0-8A66-F5C2F7A0634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'2020'!$C$155:$C$157</c:f>
              <c:numCache>
                <c:formatCode>0.00</c:formatCode>
                <c:ptCount val="3"/>
                <c:pt idx="0">
                  <c:v>20.882788461538446</c:v>
                </c:pt>
                <c:pt idx="1">
                  <c:v>17.684999999999999</c:v>
                </c:pt>
                <c:pt idx="2">
                  <c:v>14.727179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E1-4221-B0B4-C997E60A93A5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'2021'!$C$155:$C$157</c:f>
              <c:numCache>
                <c:formatCode>0.00</c:formatCode>
                <c:ptCount val="3"/>
                <c:pt idx="0">
                  <c:v>19.957931034482765</c:v>
                </c:pt>
                <c:pt idx="1">
                  <c:v>16.783999999999999</c:v>
                </c:pt>
                <c:pt idx="2">
                  <c:v>16.224999999999998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A-4735-A2A7-3FC412A632B7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dLbl>
              <c:idx val="0"/>
              <c:layout>
                <c:manualLayout>
                  <c:x val="-3.4485179798385075E-3"/>
                  <c:y val="-7.17524262955502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D7B-45E0-8A66-F5C2F7A06345}"/>
                </c:ext>
              </c:extLst>
            </c:dLbl>
            <c:dLbl>
              <c:idx val="2"/>
              <c:layout>
                <c:manualLayout>
                  <c:x val="1.3588110403396903E-2"/>
                  <c:y val="-3.54374307862679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F1-4D04-919D-C3D07F33180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'2022'!$C$161:$C$163</c:f>
              <c:numCache>
                <c:formatCode>0.00</c:formatCode>
                <c:ptCount val="3"/>
                <c:pt idx="0">
                  <c:v>20.176935483870967</c:v>
                </c:pt>
                <c:pt idx="1">
                  <c:v>18.86272727272727</c:v>
                </c:pt>
                <c:pt idx="2">
                  <c:v>16.515000000000001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7B-45E0-8A66-F5C2F7A06345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1.77187153931339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91-4B14-A6BC-86C4F731F729}"/>
                </c:ext>
              </c:extLst>
            </c:dLbl>
            <c:dLbl>
              <c:idx val="1"/>
              <c:layout>
                <c:manualLayout>
                  <c:x val="-1.4207376966564513E-3"/>
                  <c:y val="4.872646733111849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5E-4BEE-9651-D05D833DD91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'2023'!$C$161:$C$163</c:f>
              <c:numCache>
                <c:formatCode>0.00</c:formatCode>
                <c:ptCount val="3"/>
                <c:pt idx="0">
                  <c:v>20.586666666666666</c:v>
                </c:pt>
                <c:pt idx="1">
                  <c:v>18.483333333333334</c:v>
                </c:pt>
                <c:pt idx="2">
                  <c:v>14.68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91-4B14-A6BC-86C4F731F729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dLbl>
              <c:idx val="1"/>
              <c:layout>
                <c:manualLayout>
                  <c:x val="5.2770536079916339E-3"/>
                  <c:y val="-1.32890365448504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378-4C72-BCA0-61ADBC4B719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'2024'!$C$161:$C$163</c:f>
              <c:numCache>
                <c:formatCode>0.00</c:formatCode>
                <c:ptCount val="3"/>
                <c:pt idx="0">
                  <c:v>20.326037735849059</c:v>
                </c:pt>
                <c:pt idx="1">
                  <c:v>18.738888888888894</c:v>
                </c:pt>
                <c:pt idx="2">
                  <c:v>15.3825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5D-4C1C-B584-DAF4C7540E9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'2025'!$C$159:$C$161</c:f>
              <c:numCache>
                <c:formatCode>0.00</c:formatCode>
                <c:ptCount val="3"/>
                <c:pt idx="0">
                  <c:v>20.762187500000003</c:v>
                </c:pt>
                <c:pt idx="1">
                  <c:v>18.34333333333333</c:v>
                </c:pt>
                <c:pt idx="2">
                  <c:v>15.120000000000001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3-4204-945A-E1EBD4314B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95262592"/>
        <c:axId val="95264128"/>
      </c:barChart>
      <c:catAx>
        <c:axId val="9526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95264128"/>
        <c:crosses val="autoZero"/>
        <c:auto val="1"/>
        <c:lblAlgn val="ctr"/>
        <c:lblOffset val="100"/>
        <c:noMultiLvlLbl val="0"/>
      </c:catAx>
      <c:valAx>
        <c:axId val="9526412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9526259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6198120288863702E-2"/>
          <c:y val="5.0870651477843622E-2"/>
          <c:w val="0.94167336565491122"/>
          <c:h val="0.84350894282544575"/>
        </c:manualLayout>
      </c:layout>
      <c:barChart>
        <c:barDir val="col"/>
        <c:grouping val="clustered"/>
        <c:varyColors val="0"/>
        <c:ser>
          <c:idx val="2"/>
          <c:order val="0"/>
          <c:tx>
            <c:v>2014</c:v>
          </c:tx>
          <c:invertIfNegative val="0"/>
          <c:dLbls>
            <c:dLbl>
              <c:idx val="11"/>
              <c:layout>
                <c:manualLayout>
                  <c:x val="-1.516012886109531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'2014'!$B$70:$B$81</c:f>
              <c:numCache>
                <c:formatCode>General</c:formatCode>
                <c:ptCount val="12"/>
                <c:pt idx="0">
                  <c:v>75.930000000000007</c:v>
                </c:pt>
                <c:pt idx="1">
                  <c:v>88.54000000000002</c:v>
                </c:pt>
                <c:pt idx="2">
                  <c:v>171.12</c:v>
                </c:pt>
                <c:pt idx="3">
                  <c:v>144.15999999999997</c:v>
                </c:pt>
                <c:pt idx="4">
                  <c:v>360.06000000000006</c:v>
                </c:pt>
                <c:pt idx="5">
                  <c:v>350.46999999999991</c:v>
                </c:pt>
                <c:pt idx="6">
                  <c:v>599.94000000000005</c:v>
                </c:pt>
                <c:pt idx="7">
                  <c:v>169.30999999999995</c:v>
                </c:pt>
                <c:pt idx="8">
                  <c:v>291.60000000000014</c:v>
                </c:pt>
                <c:pt idx="9">
                  <c:v>189.51000000000022</c:v>
                </c:pt>
                <c:pt idx="10">
                  <c:v>45.070000000000164</c:v>
                </c:pt>
                <c:pt idx="11">
                  <c:v>94.840000000000146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6E-405B-8607-4FFB7D9A5A7C}"/>
            </c:ext>
          </c:extLst>
        </c:ser>
        <c:ser>
          <c:idx val="1"/>
          <c:order val="1"/>
          <c:tx>
            <c:v>2015</c:v>
          </c:tx>
          <c:invertIfNegative val="0"/>
          <c:dLbls>
            <c:dLbl>
              <c:idx val="9"/>
              <c:layout>
                <c:manualLayout>
                  <c:x val="3.0320257722190637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'2015'!$B$68:$B$79</c:f>
              <c:numCache>
                <c:formatCode>General</c:formatCode>
                <c:ptCount val="12"/>
                <c:pt idx="0">
                  <c:v>6.01</c:v>
                </c:pt>
                <c:pt idx="1">
                  <c:v>36.31</c:v>
                </c:pt>
                <c:pt idx="2">
                  <c:v>83.91</c:v>
                </c:pt>
                <c:pt idx="3">
                  <c:v>102.59000000000002</c:v>
                </c:pt>
                <c:pt idx="4">
                  <c:v>298.41999999999996</c:v>
                </c:pt>
                <c:pt idx="5">
                  <c:v>218.34000000000003</c:v>
                </c:pt>
                <c:pt idx="6">
                  <c:v>200.57999999999993</c:v>
                </c:pt>
                <c:pt idx="7">
                  <c:v>230.19999999999993</c:v>
                </c:pt>
                <c:pt idx="8">
                  <c:v>278.54999999999973</c:v>
                </c:pt>
                <c:pt idx="9">
                  <c:v>115.25</c:v>
                </c:pt>
                <c:pt idx="10">
                  <c:v>53.089999999999918</c:v>
                </c:pt>
                <c:pt idx="11">
                  <c:v>84.989999999999782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6E-405B-8607-4FFB7D9A5A7C}"/>
            </c:ext>
          </c:extLst>
        </c:ser>
        <c:ser>
          <c:idx val="0"/>
          <c:order val="2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invertIfNegative val="0"/>
          <c:dLbls>
            <c:dLbl>
              <c:idx val="5"/>
              <c:layout>
                <c:manualLayout>
                  <c:x val="1.9935502785107008E-2"/>
                  <c:y val="0"/>
                </c:manualLayout>
              </c:layout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/>
                  </a:pPr>
                  <a:endParaRPr lang="cs-CZ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16E-405B-8607-4FFB7D9A5A7C}"/>
                </c:ext>
              </c:extLst>
            </c:dLbl>
            <c:dLbl>
              <c:idx val="9"/>
              <c:layout>
                <c:manualLayout>
                  <c:x val="1.516012886109531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FD-4200-BF79-B13E4EBE46A1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'2016'!$C$71:$C$82</c:f>
              <c:numCache>
                <c:formatCode>General</c:formatCode>
                <c:ptCount val="12"/>
                <c:pt idx="0">
                  <c:v>52.53</c:v>
                </c:pt>
                <c:pt idx="1">
                  <c:v>56.289999999999992</c:v>
                </c:pt>
                <c:pt idx="2">
                  <c:v>0</c:v>
                </c:pt>
                <c:pt idx="3">
                  <c:v>175.95999999999998</c:v>
                </c:pt>
                <c:pt idx="4">
                  <c:v>215.42000000000002</c:v>
                </c:pt>
                <c:pt idx="5">
                  <c:v>224.60999999999996</c:v>
                </c:pt>
                <c:pt idx="6">
                  <c:v>564.61999999999989</c:v>
                </c:pt>
                <c:pt idx="7">
                  <c:v>196.88999999999987</c:v>
                </c:pt>
                <c:pt idx="8">
                  <c:v>432.11999999999966</c:v>
                </c:pt>
                <c:pt idx="9">
                  <c:v>46.299999999999955</c:v>
                </c:pt>
                <c:pt idx="10">
                  <c:v>37.079999999999927</c:v>
                </c:pt>
                <c:pt idx="11">
                  <c:v>37.079999999999927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16E-405B-8607-4FFB7D9A5A7C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dLbl>
              <c:idx val="5"/>
              <c:layout>
                <c:manualLayout>
                  <c:x val="-1.0554089709762533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5C1-4097-8A4F-F82800C0290E}"/>
                </c:ext>
              </c:extLst>
            </c:dLbl>
            <c:numFmt formatCode="#,##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'2017'!$C$71:$C$82</c:f>
              <c:numCache>
                <c:formatCode>General</c:formatCode>
                <c:ptCount val="12"/>
                <c:pt idx="0">
                  <c:v>0</c:v>
                </c:pt>
                <c:pt idx="1">
                  <c:v>23.490000000000002</c:v>
                </c:pt>
                <c:pt idx="2">
                  <c:v>109.80999999999997</c:v>
                </c:pt>
                <c:pt idx="3">
                  <c:v>34.680000000000007</c:v>
                </c:pt>
                <c:pt idx="4">
                  <c:v>374.40999999999997</c:v>
                </c:pt>
                <c:pt idx="5">
                  <c:v>211.16999999999996</c:v>
                </c:pt>
                <c:pt idx="6">
                  <c:v>443.98999999999978</c:v>
                </c:pt>
                <c:pt idx="7">
                  <c:v>463.01000000000022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16E-405B-8607-4FFB7D9A5A7C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dLbl>
              <c:idx val="5"/>
              <c:layout>
                <c:manualLayout>
                  <c:x val="-4.6907065376722368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AC-4F9A-A34F-D0F34C27124B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'2018'!$C$116:$C$127</c:f>
              <c:numCache>
                <c:formatCode>General</c:formatCode>
                <c:ptCount val="12"/>
                <c:pt idx="0">
                  <c:v>91.419999999999987</c:v>
                </c:pt>
                <c:pt idx="1">
                  <c:v>0</c:v>
                </c:pt>
                <c:pt idx="2">
                  <c:v>35.77000000000001</c:v>
                </c:pt>
                <c:pt idx="3">
                  <c:v>366.48999999999995</c:v>
                </c:pt>
                <c:pt idx="4">
                  <c:v>183.75</c:v>
                </c:pt>
                <c:pt idx="5">
                  <c:v>394.92999999999995</c:v>
                </c:pt>
                <c:pt idx="6">
                  <c:v>560.00999999999976</c:v>
                </c:pt>
                <c:pt idx="7">
                  <c:v>529.02999999999952</c:v>
                </c:pt>
                <c:pt idx="8">
                  <c:v>390.39000000000033</c:v>
                </c:pt>
                <c:pt idx="9">
                  <c:v>72.210000000000491</c:v>
                </c:pt>
                <c:pt idx="10">
                  <c:v>241.6899999999996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DF-476D-9E61-D6A8BBD42038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dLbls>
            <c:dLbl>
              <c:idx val="5"/>
              <c:layout>
                <c:manualLayout>
                  <c:x val="0"/>
                  <c:y val="-5.14619883040935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8AC-4F9A-A34F-D0F34C27124B}"/>
                </c:ext>
              </c:extLst>
            </c:dLbl>
            <c:dLbl>
              <c:idx val="6"/>
              <c:layout>
                <c:manualLayout>
                  <c:x val="1.524479624743477E-2"/>
                  <c:y val="-4.678362573099415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0E-4037-BAF2-2089225B7368}"/>
                </c:ext>
              </c:extLst>
            </c:dLbl>
            <c:dLbl>
              <c:idx val="8"/>
              <c:layout>
                <c:manualLayout>
                  <c:x val="-4.2493721826556783E-3"/>
                  <c:y val="-4.49467138755307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7EF-4F58-B1F3-C0E820ABB895}"/>
                </c:ext>
              </c:extLst>
            </c:dLbl>
            <c:dLbl>
              <c:idx val="9"/>
              <c:layout>
                <c:manualLayout>
                  <c:x val="-4.5480386583287066E-3"/>
                  <c:y val="-1.34228187919462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'2019'!$C$137:$C$148</c:f>
              <c:numCache>
                <c:formatCode>General</c:formatCode>
                <c:ptCount val="12"/>
                <c:pt idx="0">
                  <c:v>0</c:v>
                </c:pt>
                <c:pt idx="1">
                  <c:v>62.040000000000006</c:v>
                </c:pt>
                <c:pt idx="2">
                  <c:v>159.60000000000002</c:v>
                </c:pt>
                <c:pt idx="3">
                  <c:v>117.60999999999996</c:v>
                </c:pt>
                <c:pt idx="4">
                  <c:v>133.88</c:v>
                </c:pt>
                <c:pt idx="5">
                  <c:v>533.31000000000006</c:v>
                </c:pt>
                <c:pt idx="6">
                  <c:v>691.54000000000042</c:v>
                </c:pt>
                <c:pt idx="7">
                  <c:v>378.94999999999982</c:v>
                </c:pt>
                <c:pt idx="8">
                  <c:v>444.86999999999853</c:v>
                </c:pt>
                <c:pt idx="9">
                  <c:v>177.14999999999964</c:v>
                </c:pt>
                <c:pt idx="10">
                  <c:v>103.4399999999996</c:v>
                </c:pt>
                <c:pt idx="11">
                  <c:v>13.7199999999998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D-41B1-96CF-DB25B295C28B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dLbls>
            <c:dLbl>
              <c:idx val="1"/>
              <c:layout>
                <c:manualLayout>
                  <c:x val="3.7900322152738296E-3"/>
                  <c:y val="-8.94854586129753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4F-410D-AEDD-6DE880503FFC}"/>
                </c:ext>
              </c:extLst>
            </c:dLbl>
            <c:dLbl>
              <c:idx val="2"/>
              <c:layout>
                <c:manualLayout>
                  <c:x val="3.0320257722190359E-3"/>
                  <c:y val="-4.47427293064877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4F-410D-AEDD-6DE880503FFC}"/>
                </c:ext>
              </c:extLst>
            </c:dLbl>
            <c:dLbl>
              <c:idx val="8"/>
              <c:layout>
                <c:manualLayout>
                  <c:x val="4.5480386583285955E-3"/>
                  <c:y val="-4.4742729306487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2BA-4ED4-9E07-7D00A8E8F875}"/>
                </c:ext>
              </c:extLst>
            </c:dLbl>
            <c:dLbl>
              <c:idx val="9"/>
              <c:layout>
                <c:manualLayout>
                  <c:x val="0"/>
                  <c:y val="-4.02684563758390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'2020'!$C$139:$C$150</c:f>
              <c:numCache>
                <c:formatCode>General</c:formatCode>
                <c:ptCount val="12"/>
                <c:pt idx="0">
                  <c:v>74.11</c:v>
                </c:pt>
                <c:pt idx="1">
                  <c:v>72.779999999999987</c:v>
                </c:pt>
                <c:pt idx="2">
                  <c:v>155.84999999999997</c:v>
                </c:pt>
                <c:pt idx="3">
                  <c:v>388.46</c:v>
                </c:pt>
                <c:pt idx="4">
                  <c:v>267.93000000000006</c:v>
                </c:pt>
                <c:pt idx="5">
                  <c:v>503.96000000000015</c:v>
                </c:pt>
                <c:pt idx="6">
                  <c:v>505.24</c:v>
                </c:pt>
                <c:pt idx="7">
                  <c:v>421.83999999999901</c:v>
                </c:pt>
                <c:pt idx="8">
                  <c:v>468.150000000001</c:v>
                </c:pt>
                <c:pt idx="9">
                  <c:v>208.15999999999985</c:v>
                </c:pt>
                <c:pt idx="10">
                  <c:v>123.71000000000004</c:v>
                </c:pt>
                <c:pt idx="11">
                  <c:v>72.730000000000018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B5-4D3D-A86B-001D0792A048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invertIfNegative val="0"/>
          <c:dLbls>
            <c:dLbl>
              <c:idx val="6"/>
              <c:layout>
                <c:manualLayout>
                  <c:x val="6.8220579874928933E-3"/>
                  <c:y val="-1.34228187919463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9FD-4200-BF79-B13E4EBE46A1}"/>
                </c:ext>
              </c:extLst>
            </c:dLbl>
            <c:dLbl>
              <c:idx val="9"/>
              <c:layout>
                <c:manualLayout>
                  <c:x val="7.5800644305476592E-4"/>
                  <c:y val="-2.684563758389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9FD-4200-BF79-B13E4EBE46A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'2021'!$C$139:$C$150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14.11</c:v>
                </c:pt>
                <c:pt idx="3">
                  <c:v>170.12</c:v>
                </c:pt>
                <c:pt idx="4">
                  <c:v>305.35000000000014</c:v>
                </c:pt>
                <c:pt idx="5">
                  <c:v>351.26999999999987</c:v>
                </c:pt>
                <c:pt idx="6">
                  <c:v>517.11999999999955</c:v>
                </c:pt>
                <c:pt idx="7">
                  <c:v>138.74</c:v>
                </c:pt>
                <c:pt idx="8">
                  <c:v>380.93000000000029</c:v>
                </c:pt>
                <c:pt idx="9">
                  <c:v>152.91999999999985</c:v>
                </c:pt>
                <c:pt idx="10">
                  <c:v>81.720000000000027</c:v>
                </c:pt>
                <c:pt idx="11">
                  <c:v>33.690000000000055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0D-47BE-8C8A-E6F3401345E1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-4.02684563758390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FD-4200-BF79-B13E4EBE46A1}"/>
                </c:ext>
              </c:extLst>
            </c:dLbl>
            <c:dLbl>
              <c:idx val="3"/>
              <c:layout>
                <c:manualLayout>
                  <c:x val="-6.3772303691396373E-4"/>
                  <c:y val="-4.4742729306487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0A8-4A86-9042-A2E90E3670DF}"/>
                </c:ext>
              </c:extLst>
            </c:dLbl>
            <c:dLbl>
              <c:idx val="4"/>
              <c:layout>
                <c:manualLayout>
                  <c:x val="-3.0320257722190637E-3"/>
                  <c:y val="-6.263982102908285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0A8-4A86-9042-A2E90E3670DF}"/>
                </c:ext>
              </c:extLst>
            </c:dLbl>
            <c:dLbl>
              <c:idx val="9"/>
              <c:layout>
                <c:manualLayout>
                  <c:x val="0"/>
                  <c:y val="-8.05369127516778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18-4486-A216-BD46CA0A8016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'2022'!$C$145:$C$156</c:f>
              <c:numCache>
                <c:formatCode>0</c:formatCode>
                <c:ptCount val="12"/>
                <c:pt idx="0">
                  <c:v>122</c:v>
                </c:pt>
                <c:pt idx="1">
                  <c:v>148.03</c:v>
                </c:pt>
                <c:pt idx="2">
                  <c:v>176.5</c:v>
                </c:pt>
                <c:pt idx="3">
                  <c:v>174.72</c:v>
                </c:pt>
                <c:pt idx="4">
                  <c:v>325.62</c:v>
                </c:pt>
                <c:pt idx="5">
                  <c:v>237.89999999999998</c:v>
                </c:pt>
                <c:pt idx="6">
                  <c:v>413.90000000000003</c:v>
                </c:pt>
                <c:pt idx="7">
                  <c:v>357.2</c:v>
                </c:pt>
                <c:pt idx="8">
                  <c:v>345.02000000000004</c:v>
                </c:pt>
                <c:pt idx="9">
                  <c:v>297.33000000000004</c:v>
                </c:pt>
                <c:pt idx="10">
                  <c:v>173.57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FD-4200-BF79-B13E4EBE46A1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dLbl>
              <c:idx val="2"/>
              <c:layout>
                <c:manualLayout>
                  <c:x val="-7.5800644305476315E-3"/>
                  <c:y val="-6.71140939597316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AE-41B9-B480-FF701B0AA48E}"/>
                </c:ext>
              </c:extLst>
            </c:dLbl>
            <c:dLbl>
              <c:idx val="4"/>
              <c:layout>
                <c:manualLayout>
                  <c:x val="2.2740193291642978E-3"/>
                  <c:y val="-4.92170022371364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DF-4A02-B259-D6946A918661}"/>
                </c:ext>
              </c:extLst>
            </c:dLbl>
            <c:dLbl>
              <c:idx val="8"/>
              <c:layout>
                <c:manualLayout>
                  <c:x val="3.7900322152738296E-3"/>
                  <c:y val="-2.68456375838926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5F-4ACE-A24A-B78EF5A8FCF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'2023'!$C$145:$C$156</c:f>
              <c:numCache>
                <c:formatCode>0</c:formatCode>
                <c:ptCount val="12"/>
                <c:pt idx="0">
                  <c:v>112.73999999999998</c:v>
                </c:pt>
                <c:pt idx="1">
                  <c:v>57.95</c:v>
                </c:pt>
                <c:pt idx="2">
                  <c:v>178.71</c:v>
                </c:pt>
                <c:pt idx="3">
                  <c:v>158.46</c:v>
                </c:pt>
                <c:pt idx="4">
                  <c:v>373.40999999999997</c:v>
                </c:pt>
                <c:pt idx="5">
                  <c:v>343.43999999999994</c:v>
                </c:pt>
                <c:pt idx="6">
                  <c:v>385.17999999999995</c:v>
                </c:pt>
                <c:pt idx="7">
                  <c:v>428.6099999999999</c:v>
                </c:pt>
                <c:pt idx="8">
                  <c:v>436.53999999999996</c:v>
                </c:pt>
                <c:pt idx="9">
                  <c:v>212.67999999999998</c:v>
                </c:pt>
                <c:pt idx="10">
                  <c:v>156.22</c:v>
                </c:pt>
                <c:pt idx="11">
                  <c:v>24.22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79-40A7-86E5-DE6029772007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dLbl>
              <c:idx val="2"/>
              <c:layout>
                <c:manualLayout>
                  <c:x val="2.2740193291642978E-3"/>
                  <c:y val="-4.026845637583892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00-4F7C-A559-0A876A193CC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'2024'!$C$145:$C$156</c:f>
              <c:numCache>
                <c:formatCode>0</c:formatCode>
                <c:ptCount val="12"/>
                <c:pt idx="0">
                  <c:v>0</c:v>
                </c:pt>
                <c:pt idx="1">
                  <c:v>182.12</c:v>
                </c:pt>
                <c:pt idx="2">
                  <c:v>190.37</c:v>
                </c:pt>
                <c:pt idx="3">
                  <c:v>233.99</c:v>
                </c:pt>
                <c:pt idx="4">
                  <c:v>159.42000000000002</c:v>
                </c:pt>
                <c:pt idx="5">
                  <c:v>478.5800000000001</c:v>
                </c:pt>
                <c:pt idx="6">
                  <c:v>487.65999999999997</c:v>
                </c:pt>
                <c:pt idx="7">
                  <c:v>248.83999999999997</c:v>
                </c:pt>
                <c:pt idx="8">
                  <c:v>404.92</c:v>
                </c:pt>
                <c:pt idx="9">
                  <c:v>182.51</c:v>
                </c:pt>
                <c:pt idx="10">
                  <c:v>56.52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C7-45D2-A458-426999F15D0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'2025'!$C$143:$C$154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122.51</c:v>
                </c:pt>
                <c:pt idx="3">
                  <c:v>451.36</c:v>
                </c:pt>
                <c:pt idx="4">
                  <c:v>455.30000000000007</c:v>
                </c:pt>
                <c:pt idx="5">
                  <c:v>546.38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7-4AB7-AD0B-17EA2040F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662656"/>
        <c:axId val="96664192"/>
      </c:barChart>
      <c:catAx>
        <c:axId val="96662656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6664192"/>
        <c:crosses val="autoZero"/>
        <c:auto val="1"/>
        <c:lblAlgn val="ctr"/>
        <c:lblOffset val="100"/>
        <c:noMultiLvlLbl val="0"/>
      </c:catAx>
      <c:valAx>
        <c:axId val="96664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6626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735385393339594"/>
          <c:y val="2.8160791981539219E-2"/>
          <c:w val="2.2791735895398395E-2"/>
          <c:h val="0.93472951787066882"/>
        </c:manualLayout>
      </c:layout>
      <c:overlay val="1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v>2014</c:v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'2014'!$C$70:$C$81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7</c:v>
                </c:pt>
                <c:pt idx="6">
                  <c:v>9</c:v>
                </c:pt>
                <c:pt idx="7">
                  <c:v>8</c:v>
                </c:pt>
                <c:pt idx="8">
                  <c:v>8</c:v>
                </c:pt>
                <c:pt idx="9">
                  <c:v>5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99-45DE-B5C3-8C5E8DA3BCB4}"/>
            </c:ext>
          </c:extLst>
        </c:ser>
        <c:ser>
          <c:idx val="1"/>
          <c:order val="1"/>
          <c:tx>
            <c:v>2015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'2015'!$C$68:$C$79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4</c:v>
                </c:pt>
                <c:pt idx="3">
                  <c:v>5</c:v>
                </c:pt>
                <c:pt idx="4">
                  <c:v>7</c:v>
                </c:pt>
                <c:pt idx="5">
                  <c:v>5</c:v>
                </c:pt>
                <c:pt idx="6">
                  <c:v>6</c:v>
                </c:pt>
                <c:pt idx="7">
                  <c:v>8</c:v>
                </c:pt>
                <c:pt idx="8">
                  <c:v>11</c:v>
                </c:pt>
                <c:pt idx="9">
                  <c:v>4</c:v>
                </c:pt>
                <c:pt idx="10">
                  <c:v>1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99-45DE-B5C3-8C5E8DA3BCB4}"/>
            </c:ext>
          </c:extLst>
        </c:ser>
        <c:ser>
          <c:idx val="0"/>
          <c:order val="2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5"/>
              <c:layout>
                <c:manualLayout>
                  <c:x val="0"/>
                  <c:y val="-4.678362573099415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499-45DE-B5C3-8C5E8DA3BCB4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'2016'!$D$71:$D$82</c:f>
              <c:numCache>
                <c:formatCode>General</c:formatCode>
                <c:ptCount val="12"/>
                <c:pt idx="0">
                  <c:v>3</c:v>
                </c:pt>
                <c:pt idx="1">
                  <c:v>5</c:v>
                </c:pt>
                <c:pt idx="2">
                  <c:v>0</c:v>
                </c:pt>
                <c:pt idx="3">
                  <c:v>7</c:v>
                </c:pt>
                <c:pt idx="4">
                  <c:v>8</c:v>
                </c:pt>
                <c:pt idx="5">
                  <c:v>6</c:v>
                </c:pt>
                <c:pt idx="6">
                  <c:v>8</c:v>
                </c:pt>
                <c:pt idx="7">
                  <c:v>8</c:v>
                </c:pt>
                <c:pt idx="8">
                  <c:v>16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99-45DE-B5C3-8C5E8DA3BCB4}"/>
            </c:ext>
          </c:extLst>
        </c:ser>
        <c:ser>
          <c:idx val="3"/>
          <c:order val="3"/>
          <c:tx>
            <c:v>2017</c:v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'2017'!$D$71:$D$82</c:f>
              <c:numCache>
                <c:formatCode>General</c:formatCode>
                <c:ptCount val="12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1</c:v>
                </c:pt>
                <c:pt idx="4">
                  <c:v>12</c:v>
                </c:pt>
                <c:pt idx="5">
                  <c:v>10</c:v>
                </c:pt>
                <c:pt idx="6">
                  <c:v>9</c:v>
                </c:pt>
                <c:pt idx="7">
                  <c:v>15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99-45DE-B5C3-8C5E8DA3BCB4}"/>
            </c:ext>
          </c:extLst>
        </c:ser>
        <c:ser>
          <c:idx val="4"/>
          <c:order val="4"/>
          <c:tx>
            <c:v>2018</c:v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'2018'!$D$116:$D$127</c:f>
              <c:numCache>
                <c:formatCode>General</c:formatCode>
                <c:ptCount val="12"/>
                <c:pt idx="0">
                  <c:v>7</c:v>
                </c:pt>
                <c:pt idx="1">
                  <c:v>0</c:v>
                </c:pt>
                <c:pt idx="2">
                  <c:v>1</c:v>
                </c:pt>
                <c:pt idx="3">
                  <c:v>15</c:v>
                </c:pt>
                <c:pt idx="4">
                  <c:v>7</c:v>
                </c:pt>
                <c:pt idx="5">
                  <c:v>13</c:v>
                </c:pt>
                <c:pt idx="6">
                  <c:v>12</c:v>
                </c:pt>
                <c:pt idx="7">
                  <c:v>18</c:v>
                </c:pt>
                <c:pt idx="8">
                  <c:v>17</c:v>
                </c:pt>
                <c:pt idx="9">
                  <c:v>3</c:v>
                </c:pt>
                <c:pt idx="10">
                  <c:v>10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75-4825-B18C-836C98E39D5E}"/>
            </c:ext>
          </c:extLst>
        </c:ser>
        <c:ser>
          <c:idx val="5"/>
          <c:order val="5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'2019'!$F$137:$F$148</c:f>
              <c:numCache>
                <c:formatCode>General</c:formatCode>
                <c:ptCount val="12"/>
                <c:pt idx="0">
                  <c:v>0</c:v>
                </c:pt>
                <c:pt idx="1">
                  <c:v>3</c:v>
                </c:pt>
                <c:pt idx="2">
                  <c:v>8</c:v>
                </c:pt>
                <c:pt idx="3">
                  <c:v>6</c:v>
                </c:pt>
                <c:pt idx="4">
                  <c:v>5</c:v>
                </c:pt>
                <c:pt idx="5">
                  <c:v>15</c:v>
                </c:pt>
                <c:pt idx="6">
                  <c:v>14</c:v>
                </c:pt>
                <c:pt idx="7">
                  <c:v>14</c:v>
                </c:pt>
                <c:pt idx="8">
                  <c:v>18</c:v>
                </c:pt>
                <c:pt idx="9">
                  <c:v>6</c:v>
                </c:pt>
                <c:pt idx="10">
                  <c:v>5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C8-4F83-A3FB-8238F15419C3}"/>
            </c:ext>
          </c:extLst>
        </c:ser>
        <c:ser>
          <c:idx val="6"/>
          <c:order val="6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'2020'!$D$139:$D$150</c:f>
              <c:numCache>
                <c:formatCode>General</c:formatCode>
                <c:ptCount val="12"/>
                <c:pt idx="0">
                  <c:v>5</c:v>
                </c:pt>
                <c:pt idx="1">
                  <c:v>4</c:v>
                </c:pt>
                <c:pt idx="2">
                  <c:v>6</c:v>
                </c:pt>
                <c:pt idx="3">
                  <c:v>11</c:v>
                </c:pt>
                <c:pt idx="4">
                  <c:v>13</c:v>
                </c:pt>
                <c:pt idx="5">
                  <c:v>15</c:v>
                </c:pt>
                <c:pt idx="6">
                  <c:v>20</c:v>
                </c:pt>
                <c:pt idx="7">
                  <c:v>16</c:v>
                </c:pt>
                <c:pt idx="8">
                  <c:v>24</c:v>
                </c:pt>
                <c:pt idx="9">
                  <c:v>8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F2-4E97-989C-5735F608185B}"/>
            </c:ext>
          </c:extLst>
        </c:ser>
        <c:ser>
          <c:idx val="7"/>
          <c:order val="7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60000"/>
                    <a:shade val="51000"/>
                    <a:satMod val="130000"/>
                  </a:schemeClr>
                </a:gs>
                <a:gs pos="80000">
                  <a:schemeClr val="accent2">
                    <a:lumMod val="60000"/>
                    <a:shade val="93000"/>
                    <a:satMod val="130000"/>
                  </a:schemeClr>
                </a:gs>
                <a:gs pos="100000">
                  <a:schemeClr val="accent2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'2021'!$D$139:$D$150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11</c:v>
                </c:pt>
                <c:pt idx="5">
                  <c:v>14</c:v>
                </c:pt>
                <c:pt idx="6">
                  <c:v>13</c:v>
                </c:pt>
                <c:pt idx="7">
                  <c:v>6</c:v>
                </c:pt>
                <c:pt idx="8">
                  <c:v>19</c:v>
                </c:pt>
                <c:pt idx="9">
                  <c:v>6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02-44B0-8BC4-8373EEE0C445}"/>
            </c:ext>
          </c:extLst>
        </c:ser>
        <c:ser>
          <c:idx val="8"/>
          <c:order val="8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'2022'!$D$145:$D$156</c:f>
              <c:numCache>
                <c:formatCode>0</c:formatCode>
                <c:ptCount val="12"/>
                <c:pt idx="0">
                  <c:v>5</c:v>
                </c:pt>
                <c:pt idx="1">
                  <c:v>6</c:v>
                </c:pt>
                <c:pt idx="2">
                  <c:v>5</c:v>
                </c:pt>
                <c:pt idx="3">
                  <c:v>8</c:v>
                </c:pt>
                <c:pt idx="4">
                  <c:v>10</c:v>
                </c:pt>
                <c:pt idx="5">
                  <c:v>8</c:v>
                </c:pt>
                <c:pt idx="6">
                  <c:v>8</c:v>
                </c:pt>
                <c:pt idx="7">
                  <c:v>11</c:v>
                </c:pt>
                <c:pt idx="8">
                  <c:v>12</c:v>
                </c:pt>
                <c:pt idx="9">
                  <c:v>11</c:v>
                </c:pt>
                <c:pt idx="10">
                  <c:v>5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D8-45CB-99E0-DAFF20EE2C8B}"/>
            </c:ext>
          </c:extLst>
        </c:ser>
        <c:ser>
          <c:idx val="9"/>
          <c:order val="9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'2023'!$D$145:$D$156</c:f>
              <c:numCache>
                <c:formatCode>0</c:formatCode>
                <c:ptCount val="12"/>
                <c:pt idx="0">
                  <c:v>6</c:v>
                </c:pt>
                <c:pt idx="1">
                  <c:v>2</c:v>
                </c:pt>
                <c:pt idx="2">
                  <c:v>7</c:v>
                </c:pt>
                <c:pt idx="3">
                  <c:v>5</c:v>
                </c:pt>
                <c:pt idx="4">
                  <c:v>13</c:v>
                </c:pt>
                <c:pt idx="5">
                  <c:v>12</c:v>
                </c:pt>
                <c:pt idx="6">
                  <c:v>6</c:v>
                </c:pt>
                <c:pt idx="7">
                  <c:v>15</c:v>
                </c:pt>
                <c:pt idx="8">
                  <c:v>17</c:v>
                </c:pt>
                <c:pt idx="9">
                  <c:v>10</c:v>
                </c:pt>
                <c:pt idx="10">
                  <c:v>6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A4-41EF-8104-375823725DFE}"/>
            </c:ext>
          </c:extLst>
        </c:ser>
        <c:ser>
          <c:idx val="10"/>
          <c:order val="1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'2024'!$D$145:$D$156</c:f>
              <c:numCache>
                <c:formatCode>0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8</c:v>
                </c:pt>
                <c:pt idx="3">
                  <c:v>11</c:v>
                </c:pt>
                <c:pt idx="4">
                  <c:v>7</c:v>
                </c:pt>
                <c:pt idx="5">
                  <c:v>14</c:v>
                </c:pt>
                <c:pt idx="6">
                  <c:v>15</c:v>
                </c:pt>
                <c:pt idx="7">
                  <c:v>8</c:v>
                </c:pt>
                <c:pt idx="8">
                  <c:v>7</c:v>
                </c:pt>
                <c:pt idx="9">
                  <c:v>6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09-4C5F-8522-7DBA416C49EC}"/>
            </c:ext>
          </c:extLst>
        </c:ser>
        <c:ser>
          <c:idx val="11"/>
          <c:order val="11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'2025'!$D$143:$D$154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13</c:v>
                </c:pt>
                <c:pt idx="4">
                  <c:v>15</c:v>
                </c:pt>
                <c:pt idx="5">
                  <c:v>17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00-46D3-8792-28062A1A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96752768"/>
        <c:axId val="96754304"/>
      </c:barChart>
      <c:catAx>
        <c:axId val="9675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6754304"/>
        <c:crosses val="autoZero"/>
        <c:auto val="1"/>
        <c:lblAlgn val="ctr"/>
        <c:lblOffset val="100"/>
        <c:noMultiLvlLbl val="0"/>
      </c:catAx>
      <c:valAx>
        <c:axId val="96754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6752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Statistiky!$A$8</c:f>
              <c:strCache>
                <c:ptCount val="1"/>
                <c:pt idx="0">
                  <c:v>2016</c:v>
                </c:pt>
              </c:strCache>
            </c:strRef>
          </c:tx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'2016'!$C$71:$C$82</c:f>
              <c:numCache>
                <c:formatCode>General</c:formatCode>
                <c:ptCount val="12"/>
                <c:pt idx="0">
                  <c:v>52.53</c:v>
                </c:pt>
                <c:pt idx="1">
                  <c:v>56.289999999999992</c:v>
                </c:pt>
                <c:pt idx="2">
                  <c:v>0</c:v>
                </c:pt>
                <c:pt idx="3">
                  <c:v>175.95999999999998</c:v>
                </c:pt>
                <c:pt idx="4">
                  <c:v>215.42000000000002</c:v>
                </c:pt>
                <c:pt idx="5">
                  <c:v>224.60999999999996</c:v>
                </c:pt>
                <c:pt idx="6">
                  <c:v>564.61999999999989</c:v>
                </c:pt>
                <c:pt idx="7">
                  <c:v>196.88999999999987</c:v>
                </c:pt>
                <c:pt idx="8">
                  <c:v>432.11999999999966</c:v>
                </c:pt>
                <c:pt idx="9">
                  <c:v>46.299999999999955</c:v>
                </c:pt>
                <c:pt idx="10">
                  <c:v>37.079999999999927</c:v>
                </c:pt>
                <c:pt idx="11">
                  <c:v>37.079999999999927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6D-4CF0-B607-C1CC7D933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783744"/>
        <c:axId val="97985664"/>
      </c:barChart>
      <c:catAx>
        <c:axId val="9678374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7985664"/>
        <c:crosses val="autoZero"/>
        <c:auto val="1"/>
        <c:lblAlgn val="ctr"/>
        <c:lblOffset val="100"/>
        <c:tickMarkSkip val="1"/>
        <c:noMultiLvlLbl val="0"/>
      </c:catAx>
      <c:valAx>
        <c:axId val="97985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6783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Statistiky!$A$7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'2015'!$B$68:$B$79</c:f>
              <c:numCache>
                <c:formatCode>General</c:formatCode>
                <c:ptCount val="12"/>
                <c:pt idx="0">
                  <c:v>6.01</c:v>
                </c:pt>
                <c:pt idx="1">
                  <c:v>36.31</c:v>
                </c:pt>
                <c:pt idx="2">
                  <c:v>83.91</c:v>
                </c:pt>
                <c:pt idx="3">
                  <c:v>102.59000000000002</c:v>
                </c:pt>
                <c:pt idx="4">
                  <c:v>298.41999999999996</c:v>
                </c:pt>
                <c:pt idx="5">
                  <c:v>218.34000000000003</c:v>
                </c:pt>
                <c:pt idx="6">
                  <c:v>200.57999999999993</c:v>
                </c:pt>
                <c:pt idx="7">
                  <c:v>230.19999999999993</c:v>
                </c:pt>
                <c:pt idx="8">
                  <c:v>278.54999999999973</c:v>
                </c:pt>
                <c:pt idx="9">
                  <c:v>115.25</c:v>
                </c:pt>
                <c:pt idx="10">
                  <c:v>53.089999999999918</c:v>
                </c:pt>
                <c:pt idx="11">
                  <c:v>84.989999999999782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90-4D0E-A208-279452034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013568"/>
        <c:axId val="98015104"/>
      </c:barChart>
      <c:catAx>
        <c:axId val="9801356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8015104"/>
        <c:crosses val="autoZero"/>
        <c:auto val="1"/>
        <c:lblAlgn val="ctr"/>
        <c:lblOffset val="100"/>
        <c:tickMarkSkip val="1"/>
        <c:noMultiLvlLbl val="0"/>
      </c:catAx>
      <c:valAx>
        <c:axId val="98015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013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Statistiky!$A$6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'2014'!$B$70:$B$81</c:f>
              <c:numCache>
                <c:formatCode>General</c:formatCode>
                <c:ptCount val="12"/>
                <c:pt idx="0">
                  <c:v>75.930000000000007</c:v>
                </c:pt>
                <c:pt idx="1">
                  <c:v>88.54000000000002</c:v>
                </c:pt>
                <c:pt idx="2">
                  <c:v>171.12</c:v>
                </c:pt>
                <c:pt idx="3">
                  <c:v>144.15999999999997</c:v>
                </c:pt>
                <c:pt idx="4">
                  <c:v>360.06000000000006</c:v>
                </c:pt>
                <c:pt idx="5">
                  <c:v>350.46999999999991</c:v>
                </c:pt>
                <c:pt idx="6">
                  <c:v>599.94000000000005</c:v>
                </c:pt>
                <c:pt idx="7">
                  <c:v>169.30999999999995</c:v>
                </c:pt>
                <c:pt idx="8">
                  <c:v>291.60000000000014</c:v>
                </c:pt>
                <c:pt idx="9">
                  <c:v>189.51000000000022</c:v>
                </c:pt>
                <c:pt idx="10">
                  <c:v>45.070000000000164</c:v>
                </c:pt>
                <c:pt idx="11">
                  <c:v>94.840000000000146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23-469C-87DD-CA5D17895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040448"/>
        <c:axId val="99094912"/>
      </c:barChart>
      <c:catAx>
        <c:axId val="980404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094912"/>
        <c:crosses val="autoZero"/>
        <c:auto val="1"/>
        <c:lblAlgn val="ctr"/>
        <c:lblOffset val="100"/>
        <c:tickMarkSkip val="1"/>
        <c:noMultiLvlLbl val="0"/>
      </c:catAx>
      <c:valAx>
        <c:axId val="99094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040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Statistiky!$A$9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'2017'!$C$71:$C$82</c:f>
              <c:numCache>
                <c:formatCode>General</c:formatCode>
                <c:ptCount val="12"/>
                <c:pt idx="0">
                  <c:v>0</c:v>
                </c:pt>
                <c:pt idx="1">
                  <c:v>23.490000000000002</c:v>
                </c:pt>
                <c:pt idx="2">
                  <c:v>109.80999999999997</c:v>
                </c:pt>
                <c:pt idx="3">
                  <c:v>34.680000000000007</c:v>
                </c:pt>
                <c:pt idx="4">
                  <c:v>374.40999999999997</c:v>
                </c:pt>
                <c:pt idx="5">
                  <c:v>211.16999999999996</c:v>
                </c:pt>
                <c:pt idx="6">
                  <c:v>443.98999999999978</c:v>
                </c:pt>
                <c:pt idx="7">
                  <c:v>463.01000000000022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77-43CE-8132-2C210100C4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124352"/>
        <c:axId val="99125888"/>
      </c:barChart>
      <c:catAx>
        <c:axId val="9912435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125888"/>
        <c:crosses val="autoZero"/>
        <c:auto val="1"/>
        <c:lblAlgn val="ctr"/>
        <c:lblOffset val="100"/>
        <c:tickMarkSkip val="1"/>
        <c:noMultiLvlLbl val="0"/>
      </c:catAx>
      <c:valAx>
        <c:axId val="99125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124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Statistiky!$A$10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'2018'!$C$116:$C$127</c:f>
              <c:numCache>
                <c:formatCode>General</c:formatCode>
                <c:ptCount val="12"/>
                <c:pt idx="0">
                  <c:v>91.419999999999987</c:v>
                </c:pt>
                <c:pt idx="1">
                  <c:v>0</c:v>
                </c:pt>
                <c:pt idx="2">
                  <c:v>35.77000000000001</c:v>
                </c:pt>
                <c:pt idx="3">
                  <c:v>366.48999999999995</c:v>
                </c:pt>
                <c:pt idx="4">
                  <c:v>183.75</c:v>
                </c:pt>
                <c:pt idx="5">
                  <c:v>394.92999999999995</c:v>
                </c:pt>
                <c:pt idx="6">
                  <c:v>560.00999999999976</c:v>
                </c:pt>
                <c:pt idx="7">
                  <c:v>529.02999999999952</c:v>
                </c:pt>
                <c:pt idx="8">
                  <c:v>390.39000000000033</c:v>
                </c:pt>
                <c:pt idx="9">
                  <c:v>72.210000000000491</c:v>
                </c:pt>
                <c:pt idx="10">
                  <c:v>241.6899999999996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77-4363-B0D0-16E28C2551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25664"/>
        <c:axId val="99427456"/>
      </c:barChart>
      <c:catAx>
        <c:axId val="9942566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27456"/>
        <c:crosses val="autoZero"/>
        <c:auto val="1"/>
        <c:lblAlgn val="ctr"/>
        <c:lblOffset val="100"/>
        <c:tickMarkSkip val="1"/>
        <c:noMultiLvlLbl val="0"/>
      </c:catAx>
      <c:valAx>
        <c:axId val="99427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25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'2019'!$C$137:$C$148</c:f>
              <c:numCache>
                <c:formatCode>General</c:formatCode>
                <c:ptCount val="12"/>
                <c:pt idx="0">
                  <c:v>0</c:v>
                </c:pt>
                <c:pt idx="1">
                  <c:v>62.040000000000006</c:v>
                </c:pt>
                <c:pt idx="2">
                  <c:v>159.60000000000002</c:v>
                </c:pt>
                <c:pt idx="3">
                  <c:v>117.60999999999996</c:v>
                </c:pt>
                <c:pt idx="4">
                  <c:v>133.88</c:v>
                </c:pt>
                <c:pt idx="5">
                  <c:v>533.31000000000006</c:v>
                </c:pt>
                <c:pt idx="6">
                  <c:v>691.54000000000042</c:v>
                </c:pt>
                <c:pt idx="7">
                  <c:v>378.94999999999982</c:v>
                </c:pt>
                <c:pt idx="8">
                  <c:v>444.86999999999853</c:v>
                </c:pt>
                <c:pt idx="9">
                  <c:v>177.14999999999964</c:v>
                </c:pt>
                <c:pt idx="10">
                  <c:v>103.4399999999996</c:v>
                </c:pt>
                <c:pt idx="11">
                  <c:v>13.7199999999998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67-4AE6-94C9-6402FDB9E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20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'2020'!$C$139:$C$150</c:f>
              <c:numCache>
                <c:formatCode>General</c:formatCode>
                <c:ptCount val="12"/>
                <c:pt idx="0">
                  <c:v>74.11</c:v>
                </c:pt>
                <c:pt idx="1">
                  <c:v>72.779999999999987</c:v>
                </c:pt>
                <c:pt idx="2">
                  <c:v>155.84999999999997</c:v>
                </c:pt>
                <c:pt idx="3">
                  <c:v>388.46</c:v>
                </c:pt>
                <c:pt idx="4">
                  <c:v>267.93000000000006</c:v>
                </c:pt>
                <c:pt idx="5">
                  <c:v>503.96000000000015</c:v>
                </c:pt>
                <c:pt idx="6">
                  <c:v>505.24</c:v>
                </c:pt>
                <c:pt idx="7">
                  <c:v>421.83999999999901</c:v>
                </c:pt>
                <c:pt idx="8">
                  <c:v>468.150000000001</c:v>
                </c:pt>
                <c:pt idx="9">
                  <c:v>208.15999999999985</c:v>
                </c:pt>
                <c:pt idx="10">
                  <c:v>123.71000000000004</c:v>
                </c:pt>
                <c:pt idx="11">
                  <c:v>72.730000000000018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Statistiky!#REF!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92A1-4131-B268-9FC7E9F207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21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'2021'!$C$139:$C$150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14.11</c:v>
                </c:pt>
                <c:pt idx="3">
                  <c:v>170.12</c:v>
                </c:pt>
                <c:pt idx="4">
                  <c:v>305.35000000000014</c:v>
                </c:pt>
                <c:pt idx="5">
                  <c:v>351.26999999999987</c:v>
                </c:pt>
                <c:pt idx="6">
                  <c:v>517.11999999999955</c:v>
                </c:pt>
                <c:pt idx="7">
                  <c:v>138.74</c:v>
                </c:pt>
                <c:pt idx="8">
                  <c:v>380.93000000000029</c:v>
                </c:pt>
                <c:pt idx="9">
                  <c:v>152.91999999999985</c:v>
                </c:pt>
                <c:pt idx="10">
                  <c:v>81.720000000000027</c:v>
                </c:pt>
                <c:pt idx="11">
                  <c:v>33.690000000000055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4-4A51-9CC9-9B19C25DB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22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'2022'!$C$145:$C$156</c:f>
              <c:numCache>
                <c:formatCode>0</c:formatCode>
                <c:ptCount val="12"/>
                <c:pt idx="0">
                  <c:v>122</c:v>
                </c:pt>
                <c:pt idx="1">
                  <c:v>148.03</c:v>
                </c:pt>
                <c:pt idx="2">
                  <c:v>176.5</c:v>
                </c:pt>
                <c:pt idx="3">
                  <c:v>174.72</c:v>
                </c:pt>
                <c:pt idx="4">
                  <c:v>325.62</c:v>
                </c:pt>
                <c:pt idx="5">
                  <c:v>237.89999999999998</c:v>
                </c:pt>
                <c:pt idx="6">
                  <c:v>413.90000000000003</c:v>
                </c:pt>
                <c:pt idx="7">
                  <c:v>357.2</c:v>
                </c:pt>
                <c:pt idx="8">
                  <c:v>345.02000000000004</c:v>
                </c:pt>
                <c:pt idx="9">
                  <c:v>297.33000000000004</c:v>
                </c:pt>
                <c:pt idx="10">
                  <c:v>173.57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ED-493D-AE34-F2D6F9883B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Nejčastější vzdálenosti</a:t>
            </a:r>
          </a:p>
        </c:rich>
      </c:tx>
      <c:layout>
        <c:manualLayout>
          <c:xMode val="edge"/>
          <c:yMode val="edge"/>
          <c:x val="0.47358151619625377"/>
          <c:y val="2.1621621621621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0"/>
          <c:tx>
            <c:strRef>
              <c:f>Statistiky!$A$10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'2018'!$C$138:$C$149</c:f>
              <c:numCache>
                <c:formatCode>General</c:formatCode>
                <c:ptCount val="12"/>
                <c:pt idx="0">
                  <c:v>0</c:v>
                </c:pt>
                <c:pt idx="1">
                  <c:v>32</c:v>
                </c:pt>
                <c:pt idx="2">
                  <c:v>47</c:v>
                </c:pt>
                <c:pt idx="3">
                  <c:v>9</c:v>
                </c:pt>
                <c:pt idx="4">
                  <c:v>5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CBC-42F3-9588-8D8F700948F3}"/>
            </c:ext>
          </c:extLst>
        </c:ser>
        <c:ser>
          <c:idx val="3"/>
          <c:order val="1"/>
          <c:tx>
            <c:strRef>
              <c:f>Statistiky!$A$11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'2019'!$C$159:$C$170</c:f>
              <c:numCache>
                <c:formatCode>General</c:formatCode>
                <c:ptCount val="12"/>
                <c:pt idx="0">
                  <c:v>14</c:v>
                </c:pt>
                <c:pt idx="1">
                  <c:v>48</c:v>
                </c:pt>
                <c:pt idx="2">
                  <c:v>47</c:v>
                </c:pt>
                <c:pt idx="3">
                  <c:v>7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BC-42F3-9588-8D8F700948F3}"/>
            </c:ext>
          </c:extLst>
        </c:ser>
        <c:ser>
          <c:idx val="2"/>
          <c:order val="2"/>
          <c:tx>
            <c:strRef>
              <c:f>Statistiky!$A$12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'2020'!$C$160:$C$171</c:f>
              <c:numCache>
                <c:formatCode>General</c:formatCode>
                <c:ptCount val="12"/>
                <c:pt idx="0">
                  <c:v>7</c:v>
                </c:pt>
                <c:pt idx="1">
                  <c:v>53</c:v>
                </c:pt>
                <c:pt idx="2">
                  <c:v>43</c:v>
                </c:pt>
                <c:pt idx="3">
                  <c:v>12</c:v>
                </c:pt>
                <c:pt idx="4">
                  <c:v>7</c:v>
                </c:pt>
                <c:pt idx="5">
                  <c:v>5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BC-42F3-9588-8D8F700948F3}"/>
            </c:ext>
          </c:extLst>
        </c:ser>
        <c:ser>
          <c:idx val="1"/>
          <c:order val="3"/>
          <c:tx>
            <c:strRef>
              <c:f>Statistiky!$A$13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'2021'!$C$160:$C$171</c:f>
              <c:numCache>
                <c:formatCode>General</c:formatCode>
                <c:ptCount val="12"/>
                <c:pt idx="0">
                  <c:v>3</c:v>
                </c:pt>
                <c:pt idx="1">
                  <c:v>32</c:v>
                </c:pt>
                <c:pt idx="2">
                  <c:v>29</c:v>
                </c:pt>
                <c:pt idx="3">
                  <c:v>4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BC-42F3-9588-8D8F700948F3}"/>
            </c:ext>
          </c:extLst>
        </c:ser>
        <c:ser>
          <c:idx val="0"/>
          <c:order val="4"/>
          <c:tx>
            <c:strRef>
              <c:f>Statistiky!$A$14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'2022'!$B$166:$B$177</c:f>
              <c:strCache>
                <c:ptCount val="12"/>
                <c:pt idx="0">
                  <c:v>do 10 km</c:v>
                </c:pt>
                <c:pt idx="1">
                  <c:v>nad 10 km</c:v>
                </c:pt>
                <c:pt idx="2">
                  <c:v>nad 20 km</c:v>
                </c:pt>
                <c:pt idx="3">
                  <c:v>nad 30 km</c:v>
                </c:pt>
                <c:pt idx="4">
                  <c:v>nad 40 km</c:v>
                </c:pt>
                <c:pt idx="5">
                  <c:v>nad 50 km</c:v>
                </c:pt>
                <c:pt idx="6">
                  <c:v>nad 60 km</c:v>
                </c:pt>
                <c:pt idx="7">
                  <c:v>nad 70 km</c:v>
                </c:pt>
                <c:pt idx="8">
                  <c:v>nad 80 km</c:v>
                </c:pt>
                <c:pt idx="9">
                  <c:v>nad 90 km</c:v>
                </c:pt>
                <c:pt idx="10">
                  <c:v>nad 100 km</c:v>
                </c:pt>
                <c:pt idx="11">
                  <c:v>nad 110 km</c:v>
                </c:pt>
              </c:strCache>
            </c:strRef>
          </c:cat>
          <c:val>
            <c:numRef>
              <c:f>'2022'!$C$166:$C$177</c:f>
              <c:numCache>
                <c:formatCode>General</c:formatCode>
                <c:ptCount val="12"/>
                <c:pt idx="0">
                  <c:v>1</c:v>
                </c:pt>
                <c:pt idx="1">
                  <c:v>32</c:v>
                </c:pt>
                <c:pt idx="2">
                  <c:v>28</c:v>
                </c:pt>
                <c:pt idx="3">
                  <c:v>8</c:v>
                </c:pt>
                <c:pt idx="4">
                  <c:v>3</c:v>
                </c:pt>
                <c:pt idx="5">
                  <c:v>6</c:v>
                </c:pt>
                <c:pt idx="6">
                  <c:v>5</c:v>
                </c:pt>
                <c:pt idx="7">
                  <c:v>4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BC-42F3-9588-8D8F700948F3}"/>
            </c:ext>
          </c:extLst>
        </c:ser>
        <c:ser>
          <c:idx val="5"/>
          <c:order val="5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'2023'!$C$166:$C$177</c:f>
              <c:numCache>
                <c:formatCode>General</c:formatCode>
                <c:ptCount val="12"/>
                <c:pt idx="0">
                  <c:v>4</c:v>
                </c:pt>
                <c:pt idx="1">
                  <c:v>33</c:v>
                </c:pt>
                <c:pt idx="2">
                  <c:v>39</c:v>
                </c:pt>
                <c:pt idx="3">
                  <c:v>11</c:v>
                </c:pt>
                <c:pt idx="4">
                  <c:v>5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9C-4F51-A61D-842CD5ADB220}"/>
            </c:ext>
          </c:extLst>
        </c:ser>
        <c:ser>
          <c:idx val="6"/>
          <c:order val="6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'2024'!$C$166:$C$177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35</c:v>
                </c:pt>
                <c:pt idx="3">
                  <c:v>16</c:v>
                </c:pt>
                <c:pt idx="4">
                  <c:v>3</c:v>
                </c:pt>
                <c:pt idx="5">
                  <c:v>7</c:v>
                </c:pt>
                <c:pt idx="6">
                  <c:v>1</c:v>
                </c:pt>
                <c:pt idx="7">
                  <c:v>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1D-435F-8D7A-361002DF2E61}"/>
            </c:ext>
          </c:extLst>
        </c:ser>
        <c:ser>
          <c:idx val="7"/>
          <c:order val="7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'2025'!$C$164:$C$175</c:f>
              <c:numCache>
                <c:formatCode>General</c:formatCode>
                <c:ptCount val="12"/>
                <c:pt idx="0">
                  <c:v>7</c:v>
                </c:pt>
                <c:pt idx="1">
                  <c:v>3</c:v>
                </c:pt>
                <c:pt idx="2">
                  <c:v>9</c:v>
                </c:pt>
                <c:pt idx="3">
                  <c:v>16</c:v>
                </c:pt>
                <c:pt idx="4">
                  <c:v>10</c:v>
                </c:pt>
                <c:pt idx="5">
                  <c:v>2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B6-48BB-83EF-3BC0558933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6880095"/>
        <c:axId val="814057343"/>
      </c:barChart>
      <c:catAx>
        <c:axId val="636880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14057343"/>
        <c:crosses val="autoZero"/>
        <c:auto val="1"/>
        <c:lblAlgn val="ctr"/>
        <c:lblOffset val="100"/>
        <c:noMultiLvlLbl val="0"/>
      </c:catAx>
      <c:valAx>
        <c:axId val="814057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36880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23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FF0066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'2023'!$C$145:$C$156</c:f>
              <c:numCache>
                <c:formatCode>0</c:formatCode>
                <c:ptCount val="12"/>
                <c:pt idx="0">
                  <c:v>112.73999999999998</c:v>
                </c:pt>
                <c:pt idx="1">
                  <c:v>57.95</c:v>
                </c:pt>
                <c:pt idx="2">
                  <c:v>178.71</c:v>
                </c:pt>
                <c:pt idx="3">
                  <c:v>158.46</c:v>
                </c:pt>
                <c:pt idx="4">
                  <c:v>373.40999999999997</c:v>
                </c:pt>
                <c:pt idx="5">
                  <c:v>343.43999999999994</c:v>
                </c:pt>
                <c:pt idx="6">
                  <c:v>385.17999999999995</c:v>
                </c:pt>
                <c:pt idx="7">
                  <c:v>428.6099999999999</c:v>
                </c:pt>
                <c:pt idx="8">
                  <c:v>436.53999999999996</c:v>
                </c:pt>
                <c:pt idx="9">
                  <c:v>212.67999999999998</c:v>
                </c:pt>
                <c:pt idx="10">
                  <c:v>156.22</c:v>
                </c:pt>
                <c:pt idx="11">
                  <c:v>24.22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99-4792-AD8F-D16DCF55C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24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Statistiky!$A$16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'2024'!$C$145:$C$156</c:f>
              <c:numCache>
                <c:formatCode>0</c:formatCode>
                <c:ptCount val="12"/>
                <c:pt idx="0">
                  <c:v>0</c:v>
                </c:pt>
                <c:pt idx="1">
                  <c:v>182.12</c:v>
                </c:pt>
                <c:pt idx="2">
                  <c:v>190.37</c:v>
                </c:pt>
                <c:pt idx="3">
                  <c:v>233.99</c:v>
                </c:pt>
                <c:pt idx="4">
                  <c:v>159.42000000000002</c:v>
                </c:pt>
                <c:pt idx="5">
                  <c:v>478.5800000000001</c:v>
                </c:pt>
                <c:pt idx="6">
                  <c:v>487.65999999999997</c:v>
                </c:pt>
                <c:pt idx="7">
                  <c:v>248.83999999999997</c:v>
                </c:pt>
                <c:pt idx="8">
                  <c:v>404.92</c:v>
                </c:pt>
                <c:pt idx="9">
                  <c:v>182.51</c:v>
                </c:pt>
                <c:pt idx="10">
                  <c:v>56.52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86-4166-B71D-919DCDF9D8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</a:t>
            </a:r>
            <a:r>
              <a:rPr lang="cs-CZ"/>
              <a:t>25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Statistiky!$A$17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</c:spPr>
          <c:invertIfNegative val="0"/>
          <c:dLbls>
            <c:numFmt formatCode="#,##0" sourceLinked="0"/>
            <c:spPr>
              <a:noFill/>
              <a:ln w="25400">
                <a:noFill/>
              </a:ln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'2016'!$B$71:$B$82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'2025'!$C$143:$C$154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122.51</c:v>
                </c:pt>
                <c:pt idx="3">
                  <c:v>451.36</c:v>
                </c:pt>
                <c:pt idx="4">
                  <c:v>455.30000000000007</c:v>
                </c:pt>
                <c:pt idx="5">
                  <c:v>546.38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1F-4BCD-BAB3-52177787C5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469184"/>
        <c:axId val="99470720"/>
      </c:barChart>
      <c:catAx>
        <c:axId val="99469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99470720"/>
        <c:crosses val="autoZero"/>
        <c:auto val="1"/>
        <c:lblAlgn val="ctr"/>
        <c:lblOffset val="100"/>
        <c:tickMarkSkip val="1"/>
        <c:noMultiLvlLbl val="0"/>
      </c:catAx>
      <c:valAx>
        <c:axId val="9947072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99469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'Ztracené kobylky'!$A$2</c:f>
              <c:strCache>
                <c:ptCount val="1"/>
                <c:pt idx="0">
                  <c:v>Vzdálenost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dLbl>
              <c:idx val="6"/>
              <c:layout>
                <c:manualLayout>
                  <c:x val="0"/>
                  <c:y val="-3.2407407407407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CA-4A7C-9B28-EE0F6728A795}"/>
                </c:ext>
              </c:extLst>
            </c:dLbl>
            <c:dLbl>
              <c:idx val="7"/>
              <c:layout>
                <c:manualLayout>
                  <c:x val="-2.7045300878973271E-3"/>
                  <c:y val="-5.55555555555556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BA-4E73-8326-0842C703F7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kobylky'!$B$2:$M$2</c:f>
              <c:numCache>
                <c:formatCode>General</c:formatCode>
                <c:ptCount val="12"/>
                <c:pt idx="0">
                  <c:v>63.41</c:v>
                </c:pt>
                <c:pt idx="1">
                  <c:v>48.29</c:v>
                </c:pt>
                <c:pt idx="2">
                  <c:v>71.959999999999994</c:v>
                </c:pt>
                <c:pt idx="3">
                  <c:v>80.28</c:v>
                </c:pt>
                <c:pt idx="4">
                  <c:v>67.069999999999993</c:v>
                </c:pt>
                <c:pt idx="5">
                  <c:v>82.04</c:v>
                </c:pt>
                <c:pt idx="6">
                  <c:v>75.599999999999994</c:v>
                </c:pt>
                <c:pt idx="7">
                  <c:v>74.16</c:v>
                </c:pt>
                <c:pt idx="8">
                  <c:v>73.25</c:v>
                </c:pt>
                <c:pt idx="9">
                  <c:v>69.23</c:v>
                </c:pt>
                <c:pt idx="10">
                  <c:v>51.93</c:v>
                </c:pt>
                <c:pt idx="11" formatCode="0.00">
                  <c:v>58.34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24-49CA-9BDF-991C11EFAD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99549184"/>
        <c:axId val="99550720"/>
      </c:lineChart>
      <c:catAx>
        <c:axId val="9954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50720"/>
        <c:crosses val="autoZero"/>
        <c:auto val="1"/>
        <c:lblAlgn val="ctr"/>
        <c:lblOffset val="100"/>
        <c:noMultiLvlLbl val="0"/>
      </c:catAx>
      <c:valAx>
        <c:axId val="99550720"/>
        <c:scaling>
          <c:orientation val="minMax"/>
          <c:min val="4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49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'Ztracené kobylky'!$A$3</c:f>
              <c:strCache>
                <c:ptCount val="1"/>
                <c:pt idx="0">
                  <c:v>Nastoupané metry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4F81B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kobylky'!$B$3:$M$3</c:f>
              <c:numCache>
                <c:formatCode>General</c:formatCode>
                <c:ptCount val="12"/>
                <c:pt idx="0">
                  <c:v>1385</c:v>
                </c:pt>
                <c:pt idx="1">
                  <c:v>1039</c:v>
                </c:pt>
                <c:pt idx="2">
                  <c:v>1358</c:v>
                </c:pt>
                <c:pt idx="3">
                  <c:v>1428</c:v>
                </c:pt>
                <c:pt idx="4">
                  <c:v>1403</c:v>
                </c:pt>
                <c:pt idx="5">
                  <c:v>1456</c:v>
                </c:pt>
                <c:pt idx="6">
                  <c:v>1363</c:v>
                </c:pt>
                <c:pt idx="7">
                  <c:v>1349</c:v>
                </c:pt>
                <c:pt idx="8">
                  <c:v>1095</c:v>
                </c:pt>
                <c:pt idx="9">
                  <c:v>1643</c:v>
                </c:pt>
                <c:pt idx="10">
                  <c:v>1154</c:v>
                </c:pt>
                <c:pt idx="11">
                  <c:v>1184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20-42CE-8310-CB333675127C}"/>
            </c:ext>
          </c:extLst>
        </c:ser>
        <c:ser>
          <c:idx val="1"/>
          <c:order val="1"/>
          <c:tx>
            <c:strRef>
              <c:f>'Ztracené kobylky'!$A$9</c:f>
              <c:strCache>
                <c:ptCount val="1"/>
                <c:pt idx="0">
                  <c:v>Body celkově</c:v>
                </c:pt>
              </c:strCache>
            </c:strRef>
          </c:tx>
          <c:spPr>
            <a:pattFill prst="ltUpDiag">
              <a:fgClr>
                <a:schemeClr val="accent2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C0504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kobylky'!$B$9:$M$9</c:f>
              <c:numCache>
                <c:formatCode>General</c:formatCode>
                <c:ptCount val="12"/>
                <c:pt idx="0">
                  <c:v>490</c:v>
                </c:pt>
                <c:pt idx="1">
                  <c:v>440</c:v>
                </c:pt>
                <c:pt idx="2">
                  <c:v>500</c:v>
                </c:pt>
                <c:pt idx="3">
                  <c:v>690</c:v>
                </c:pt>
                <c:pt idx="4">
                  <c:v>440</c:v>
                </c:pt>
                <c:pt idx="5">
                  <c:v>510</c:v>
                </c:pt>
                <c:pt idx="6">
                  <c:v>360</c:v>
                </c:pt>
                <c:pt idx="7">
                  <c:v>509</c:v>
                </c:pt>
                <c:pt idx="8">
                  <c:v>484</c:v>
                </c:pt>
                <c:pt idx="9">
                  <c:v>484</c:v>
                </c:pt>
                <c:pt idx="10">
                  <c:v>552</c:v>
                </c:pt>
                <c:pt idx="1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20-42CE-8310-CB3336751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99331456"/>
        <c:axId val="99579008"/>
      </c:barChart>
      <c:catAx>
        <c:axId val="993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1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79008"/>
        <c:crosses val="autoZero"/>
        <c:auto val="1"/>
        <c:lblAlgn val="ctr"/>
        <c:lblOffset val="100"/>
        <c:noMultiLvlLbl val="0"/>
      </c:catAx>
      <c:valAx>
        <c:axId val="99579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331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6.3803149606299209E-2"/>
          <c:y val="0.15782407407407409"/>
          <c:w val="0.90286351706036749"/>
          <c:h val="0.72088764946048411"/>
        </c:manualLayout>
      </c:layout>
      <c:lineChart>
        <c:grouping val="stacked"/>
        <c:varyColors val="0"/>
        <c:ser>
          <c:idx val="0"/>
          <c:order val="0"/>
          <c:tx>
            <c:strRef>
              <c:f>'Ztracené kobylky'!$A$5</c:f>
              <c:strCache>
                <c:ptCount val="1"/>
                <c:pt idx="0">
                  <c:v>Průměrná rychlost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5462668816039986E-17"/>
                  <c:y val="-4.1666666666666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56-4E0E-AF9E-D2CCA22CC502}"/>
                </c:ext>
              </c:extLst>
            </c:dLbl>
            <c:dLbl>
              <c:idx val="1"/>
              <c:layout>
                <c:manualLayout>
                  <c:x val="1.3888888888888838E-2"/>
                  <c:y val="2.31481481481481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56-4E0E-AF9E-D2CCA22CC502}"/>
                </c:ext>
              </c:extLst>
            </c:dLbl>
            <c:dLbl>
              <c:idx val="2"/>
              <c:layout>
                <c:manualLayout>
                  <c:x val="-2.5000000000000001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56-4E0E-AF9E-D2CCA22CC502}"/>
                </c:ext>
              </c:extLst>
            </c:dLbl>
            <c:dLbl>
              <c:idx val="3"/>
              <c:layout>
                <c:manualLayout>
                  <c:x val="2.7777777777777779E-3"/>
                  <c:y val="-1.8518518518518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56-4E0E-AF9E-D2CCA22CC502}"/>
                </c:ext>
              </c:extLst>
            </c:dLbl>
            <c:dLbl>
              <c:idx val="8"/>
              <c:layout>
                <c:manualLayout>
                  <c:x val="-3.7863421230561189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76C-46C1-B80B-4D4D0CAB40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kobylky'!$B$5:$M$5</c:f>
              <c:numCache>
                <c:formatCode>General</c:formatCode>
                <c:ptCount val="12"/>
                <c:pt idx="0">
                  <c:v>15.51</c:v>
                </c:pt>
                <c:pt idx="1">
                  <c:v>13.88</c:v>
                </c:pt>
                <c:pt idx="2">
                  <c:v>16.079999999999998</c:v>
                </c:pt>
                <c:pt idx="3" formatCode="0.00">
                  <c:v>16.77</c:v>
                </c:pt>
                <c:pt idx="4" formatCode="0.00">
                  <c:v>13.6</c:v>
                </c:pt>
                <c:pt idx="5" formatCode="0.00">
                  <c:v>17.43</c:v>
                </c:pt>
                <c:pt idx="6" formatCode="0.00">
                  <c:v>15.73</c:v>
                </c:pt>
                <c:pt idx="7" formatCode="0.00">
                  <c:v>14.6</c:v>
                </c:pt>
                <c:pt idx="8" formatCode="0.00">
                  <c:v>15.4</c:v>
                </c:pt>
                <c:pt idx="9" formatCode="0.00">
                  <c:v>15.5</c:v>
                </c:pt>
                <c:pt idx="10" formatCode="0.00">
                  <c:v>12.04</c:v>
                </c:pt>
                <c:pt idx="11">
                  <c:v>13.4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56-4E0E-AF9E-D2CCA22CC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upDownBars>
          <c:gapWidth val="150"/>
          <c:upBars>
            <c:spPr>
              <a:solidFill>
                <a:schemeClr val="lt1">
                  <a:lumMod val="95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upBars>
          <c:downBars>
            <c:spPr>
              <a:solidFill>
                <a:schemeClr val="dk1">
                  <a:lumMod val="35000"/>
                  <a:lumOff val="65000"/>
                </a:schemeClr>
              </a:solidFill>
              <a:ln w="95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</c:downBars>
        </c:upDownBars>
        <c:smooth val="0"/>
        <c:axId val="99623296"/>
        <c:axId val="99624832"/>
      </c:lineChart>
      <c:catAx>
        <c:axId val="99623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624832"/>
        <c:crosses val="autoZero"/>
        <c:auto val="1"/>
        <c:lblAlgn val="ctr"/>
        <c:lblOffset val="100"/>
        <c:noMultiLvlLbl val="0"/>
      </c:catAx>
      <c:valAx>
        <c:axId val="99624832"/>
        <c:scaling>
          <c:orientation val="minMax"/>
          <c:min val="1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623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5497313349178373E-2"/>
          <c:y val="5.5951079031787705E-2"/>
          <c:w val="0.90286351706036749"/>
          <c:h val="0.72088764946048411"/>
        </c:manualLayout>
      </c:layout>
      <c:lineChart>
        <c:grouping val="standard"/>
        <c:varyColors val="0"/>
        <c:ser>
          <c:idx val="0"/>
          <c:order val="0"/>
          <c:tx>
            <c:strRef>
              <c:f>'Ztracené kobylky'!$A$8</c:f>
              <c:strCache>
                <c:ptCount val="1"/>
                <c:pt idx="0">
                  <c:v>Umístění celkové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kobylky'!$B$8:$M$8</c:f>
              <c:numCache>
                <c:formatCode>General</c:formatCode>
                <c:ptCount val="12"/>
                <c:pt idx="0">
                  <c:v>43</c:v>
                </c:pt>
                <c:pt idx="1">
                  <c:v>46</c:v>
                </c:pt>
                <c:pt idx="2">
                  <c:v>42</c:v>
                </c:pt>
                <c:pt idx="3">
                  <c:v>57</c:v>
                </c:pt>
                <c:pt idx="4">
                  <c:v>57</c:v>
                </c:pt>
                <c:pt idx="5">
                  <c:v>45</c:v>
                </c:pt>
                <c:pt idx="6">
                  <c:v>62</c:v>
                </c:pt>
                <c:pt idx="7">
                  <c:v>44</c:v>
                </c:pt>
                <c:pt idx="8">
                  <c:v>59</c:v>
                </c:pt>
                <c:pt idx="9">
                  <c:v>50</c:v>
                </c:pt>
                <c:pt idx="10">
                  <c:v>69</c:v>
                </c:pt>
                <c:pt idx="11">
                  <c:v>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09A-4D74-9B44-34D0EB1DBCDE}"/>
            </c:ext>
          </c:extLst>
        </c:ser>
        <c:ser>
          <c:idx val="1"/>
          <c:order val="1"/>
          <c:tx>
            <c:strRef>
              <c:f>'Ztracené kobylky'!$A$6</c:f>
              <c:strCache>
                <c:ptCount val="1"/>
                <c:pt idx="0">
                  <c:v>Umístění v kategorii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kobylky'!$B$6:$M$6</c:f>
              <c:numCache>
                <c:formatCode>General</c:formatCode>
                <c:ptCount val="12"/>
                <c:pt idx="0">
                  <c:v>10</c:v>
                </c:pt>
                <c:pt idx="1">
                  <c:v>15</c:v>
                </c:pt>
                <c:pt idx="2">
                  <c:v>12</c:v>
                </c:pt>
                <c:pt idx="3">
                  <c:v>17</c:v>
                </c:pt>
                <c:pt idx="4">
                  <c:v>19</c:v>
                </c:pt>
                <c:pt idx="5">
                  <c:v>9</c:v>
                </c:pt>
                <c:pt idx="6">
                  <c:v>20</c:v>
                </c:pt>
                <c:pt idx="7">
                  <c:v>12</c:v>
                </c:pt>
                <c:pt idx="8">
                  <c:v>15</c:v>
                </c:pt>
                <c:pt idx="9">
                  <c:v>12</c:v>
                </c:pt>
                <c:pt idx="10">
                  <c:v>10</c:v>
                </c:pt>
                <c:pt idx="1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09A-4D74-9B44-34D0EB1DBCD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99666944"/>
        <c:axId val="99881728"/>
      </c:lineChart>
      <c:catAx>
        <c:axId val="99666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881728"/>
        <c:crosses val="autoZero"/>
        <c:auto val="1"/>
        <c:lblAlgn val="ctr"/>
        <c:lblOffset val="100"/>
        <c:noMultiLvlLbl val="0"/>
      </c:catAx>
      <c:valAx>
        <c:axId val="9988172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99666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'Ztracené kobylky'!$A$6</c:f>
              <c:strCache>
                <c:ptCount val="1"/>
                <c:pt idx="0">
                  <c:v>Umístění v kategorii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4F81B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kobylky'!$B$6:$M$6</c:f>
              <c:numCache>
                <c:formatCode>General</c:formatCode>
                <c:ptCount val="12"/>
                <c:pt idx="0">
                  <c:v>10</c:v>
                </c:pt>
                <c:pt idx="1">
                  <c:v>15</c:v>
                </c:pt>
                <c:pt idx="2">
                  <c:v>12</c:v>
                </c:pt>
                <c:pt idx="3">
                  <c:v>17</c:v>
                </c:pt>
                <c:pt idx="4">
                  <c:v>19</c:v>
                </c:pt>
                <c:pt idx="5">
                  <c:v>9</c:v>
                </c:pt>
                <c:pt idx="6">
                  <c:v>20</c:v>
                </c:pt>
                <c:pt idx="7">
                  <c:v>12</c:v>
                </c:pt>
                <c:pt idx="8">
                  <c:v>15</c:v>
                </c:pt>
                <c:pt idx="9">
                  <c:v>12</c:v>
                </c:pt>
                <c:pt idx="10">
                  <c:v>10</c:v>
                </c:pt>
                <c:pt idx="1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A6-42E8-A51F-684621F8A3B6}"/>
            </c:ext>
          </c:extLst>
        </c:ser>
        <c:ser>
          <c:idx val="1"/>
          <c:order val="1"/>
          <c:tx>
            <c:strRef>
              <c:f>'Ztracené kobylky'!$A$7</c:f>
              <c:strCache>
                <c:ptCount val="1"/>
                <c:pt idx="0">
                  <c:v>Počet týmů v kategorii</c:v>
                </c:pt>
              </c:strCache>
            </c:strRef>
          </c:tx>
          <c:spPr>
            <a:pattFill prst="ltUpDiag">
              <a:fgClr>
                <a:schemeClr val="accent2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dLbls>
            <c:spPr>
              <a:solidFill>
                <a:srgbClr val="C0504D">
                  <a:alpha val="70000"/>
                </a:srgb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'Ztracené kobylky'!$B$1:$M$1</c:f>
              <c:strCache>
                <c:ptCount val="12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 (MD)</c:v>
                </c:pt>
                <c:pt idx="11">
                  <c:v>2025 (MD)</c:v>
                </c:pt>
              </c:strCache>
            </c:strRef>
          </c:cat>
          <c:val>
            <c:numRef>
              <c:f>'Ztracené kobylky'!$B$7:$M$7</c:f>
              <c:numCache>
                <c:formatCode>General</c:formatCode>
                <c:ptCount val="12"/>
                <c:pt idx="0">
                  <c:v>19</c:v>
                </c:pt>
                <c:pt idx="1">
                  <c:v>23</c:v>
                </c:pt>
                <c:pt idx="2">
                  <c:v>25</c:v>
                </c:pt>
                <c:pt idx="3">
                  <c:v>32</c:v>
                </c:pt>
                <c:pt idx="4">
                  <c:v>24</c:v>
                </c:pt>
                <c:pt idx="5">
                  <c:v>18</c:v>
                </c:pt>
                <c:pt idx="6">
                  <c:v>29</c:v>
                </c:pt>
                <c:pt idx="7">
                  <c:v>32</c:v>
                </c:pt>
                <c:pt idx="8">
                  <c:v>35</c:v>
                </c:pt>
                <c:pt idx="9">
                  <c:v>19</c:v>
                </c:pt>
                <c:pt idx="10">
                  <c:v>25</c:v>
                </c:pt>
                <c:pt idx="1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A6-42E8-A51F-684621F8A3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99331456"/>
        <c:axId val="99579008"/>
      </c:barChart>
      <c:catAx>
        <c:axId val="993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1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579008"/>
        <c:crosses val="autoZero"/>
        <c:auto val="1"/>
        <c:lblAlgn val="ctr"/>
        <c:lblOffset val="100"/>
        <c:noMultiLvlLbl val="0"/>
      </c:catAx>
      <c:valAx>
        <c:axId val="99579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9331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zero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Zlaťák!$A$2</c:f>
              <c:strCache>
                <c:ptCount val="1"/>
                <c:pt idx="0">
                  <c:v>čas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(Zlaťák!$E$1:$H$1,Zlaťák!$J$1:$K$1,Zlaťák!$N$1:$R$1,Zlaťák!$T$1,Zlaťák!$U$1,Zlaťák!$V$1,Zlaťák!$W$1)</c:f>
              <c:numCache>
                <c:formatCode>General</c:formatCode>
                <c:ptCount val="15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2008</c:v>
                </c:pt>
                <c:pt idx="5">
                  <c:v>2009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</c:numCache>
            </c:numRef>
          </c:cat>
          <c:val>
            <c:numRef>
              <c:f>(Zlaťák!$E$2:$H$2,Zlaťák!$J$2:$K$2,Zlaťák!$N$2:$R$2,Zlaťák!$T$2:$U$2,Zlaťák!$V$2,Zlaťák!$W$2)</c:f>
              <c:numCache>
                <c:formatCode>h:mm:ss</c:formatCode>
                <c:ptCount val="15"/>
                <c:pt idx="0">
                  <c:v>6.190972222222222E-2</c:v>
                </c:pt>
                <c:pt idx="1">
                  <c:v>5.9108796296296291E-2</c:v>
                </c:pt>
                <c:pt idx="2">
                  <c:v>5.7013888888888892E-2</c:v>
                </c:pt>
                <c:pt idx="3">
                  <c:v>5.8182870370370371E-2</c:v>
                </c:pt>
                <c:pt idx="4">
                  <c:v>6.0162037037037042E-2</c:v>
                </c:pt>
                <c:pt idx="5">
                  <c:v>6.2256944444444441E-2</c:v>
                </c:pt>
                <c:pt idx="6">
                  <c:v>6.1828703703703712E-2</c:v>
                </c:pt>
                <c:pt idx="7">
                  <c:v>6.2719907407407405E-2</c:v>
                </c:pt>
                <c:pt idx="8">
                  <c:v>5.710648148148148E-2</c:v>
                </c:pt>
                <c:pt idx="9">
                  <c:v>6.3275462962962964E-2</c:v>
                </c:pt>
                <c:pt idx="10">
                  <c:v>6.7986111111111108E-2</c:v>
                </c:pt>
                <c:pt idx="11">
                  <c:v>6.2349537037037044E-2</c:v>
                </c:pt>
                <c:pt idx="12">
                  <c:v>5.9560185185185188E-2</c:v>
                </c:pt>
                <c:pt idx="13">
                  <c:v>6.1377314814814815E-2</c:v>
                </c:pt>
                <c:pt idx="14">
                  <c:v>6.2627314814814816E-2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AA-4137-BE80-A28696356B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017280"/>
        <c:axId val="100018816"/>
      </c:barChart>
      <c:catAx>
        <c:axId val="10001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18816"/>
        <c:crosses val="autoZero"/>
        <c:auto val="1"/>
        <c:lblAlgn val="ctr"/>
        <c:lblOffset val="100"/>
        <c:noMultiLvlLbl val="0"/>
      </c:catAx>
      <c:valAx>
        <c:axId val="10001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F400]h:mm:ss\ AM/PM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17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Nastoupáno v průměru metrů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3284252992433158E-2"/>
                  <c:y val="-7.37950996254806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702-4F08-B95C-D8EB2A031B5F}"/>
                </c:ext>
              </c:extLst>
            </c:dLbl>
            <c:dLbl>
              <c:idx val="1"/>
              <c:layout>
                <c:manualLayout>
                  <c:x val="-5.2777777777777778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702-4F08-B95C-D8EB2A031B5F}"/>
                </c:ext>
              </c:extLst>
            </c:dLbl>
            <c:dLbl>
              <c:idx val="2"/>
              <c:layout>
                <c:manualLayout>
                  <c:x val="-3.6111111111111108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702-4F08-B95C-D8EB2A031B5F}"/>
                </c:ext>
              </c:extLst>
            </c:dLbl>
            <c:dLbl>
              <c:idx val="3"/>
              <c:layout>
                <c:manualLayout>
                  <c:x val="-4.1666666666666768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702-4F08-B95C-D8EB2A031B5F}"/>
                </c:ext>
              </c:extLst>
            </c:dLbl>
            <c:dLbl>
              <c:idx val="4"/>
              <c:layout>
                <c:manualLayout>
                  <c:x val="-1.6666666666666666E-2"/>
                  <c:y val="-6.0185185185185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4C-45F1-8FEE-7249FB8AEC5B}"/>
                </c:ext>
              </c:extLst>
            </c:dLbl>
            <c:dLbl>
              <c:idx val="7"/>
              <c:layout>
                <c:manualLayout>
                  <c:x val="0"/>
                  <c:y val="1.38888888888888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F95-4315-AF3C-02D931C1F969}"/>
                </c:ext>
              </c:extLst>
            </c:dLbl>
            <c:dLbl>
              <c:idx val="8"/>
              <c:layout>
                <c:manualLayout>
                  <c:x val="-3.1209362808842653E-2"/>
                  <c:y val="-4.58978689294195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D0-48D5-9789-12DDF389F91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'Srovnání červencových cest'!$B$1:$L$1</c:f>
              <c:strCache>
                <c:ptCount val="11"/>
                <c:pt idx="0">
                  <c:v>13_Morava</c:v>
                </c:pt>
                <c:pt idx="1">
                  <c:v>14_J. Čechy</c:v>
                </c:pt>
                <c:pt idx="2">
                  <c:v>16_Bratislava</c:v>
                </c:pt>
                <c:pt idx="3">
                  <c:v>17_Šumava</c:v>
                </c:pt>
                <c:pt idx="4">
                  <c:v>18_Brno</c:v>
                </c:pt>
                <c:pt idx="5">
                  <c:v>19_Krušné</c:v>
                </c:pt>
                <c:pt idx="6">
                  <c:v>20_Krkonoše</c:v>
                </c:pt>
                <c:pt idx="7">
                  <c:v>21_Jeseníky</c:v>
                </c:pt>
                <c:pt idx="8">
                  <c:v>22_Sever</c:v>
                </c:pt>
                <c:pt idx="9">
                  <c:v>23_Východ</c:v>
                </c:pt>
                <c:pt idx="10">
                  <c:v>24_Drážďany</c:v>
                </c:pt>
              </c:strCache>
            </c:strRef>
          </c:cat>
          <c:val>
            <c:numRef>
              <c:f>'Srovnání červencových cest'!$B$12:$L$12</c:f>
              <c:numCache>
                <c:formatCode>0.00</c:formatCode>
                <c:ptCount val="11"/>
                <c:pt idx="0">
                  <c:v>437.8</c:v>
                </c:pt>
                <c:pt idx="1">
                  <c:v>699</c:v>
                </c:pt>
                <c:pt idx="2">
                  <c:v>1014.6</c:v>
                </c:pt>
                <c:pt idx="3">
                  <c:v>1216.25</c:v>
                </c:pt>
                <c:pt idx="4">
                  <c:v>1362.75</c:v>
                </c:pt>
                <c:pt idx="5">
                  <c:v>1271</c:v>
                </c:pt>
                <c:pt idx="6">
                  <c:v>1666.3333333333333</c:v>
                </c:pt>
                <c:pt idx="7">
                  <c:v>1160.5</c:v>
                </c:pt>
                <c:pt idx="8">
                  <c:v>1381.75</c:v>
                </c:pt>
                <c:pt idx="9">
                  <c:v>1266.5</c:v>
                </c:pt>
                <c:pt idx="10">
                  <c:v>459.66666666666669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702-4F08-B95C-D8EB2A031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050048"/>
        <c:axId val="100051584"/>
      </c:lineChart>
      <c:catAx>
        <c:axId val="10005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51584"/>
        <c:crosses val="autoZero"/>
        <c:auto val="1"/>
        <c:lblAlgn val="ctr"/>
        <c:lblOffset val="100"/>
        <c:noMultiLvlLbl val="0"/>
      </c:catAx>
      <c:valAx>
        <c:axId val="10005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0050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'Srovnání červencových cest'!$A$11</c:f>
              <c:strCache>
                <c:ptCount val="1"/>
                <c:pt idx="0">
                  <c:v>km na den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'Srovnání červencových cest'!$B$1:$L$1</c:f>
              <c:strCache>
                <c:ptCount val="11"/>
                <c:pt idx="0">
                  <c:v>13_Morava</c:v>
                </c:pt>
                <c:pt idx="1">
                  <c:v>14_J. Čechy</c:v>
                </c:pt>
                <c:pt idx="2">
                  <c:v>16_Bratislava</c:v>
                </c:pt>
                <c:pt idx="3">
                  <c:v>17_Šumava</c:v>
                </c:pt>
                <c:pt idx="4">
                  <c:v>18_Brno</c:v>
                </c:pt>
                <c:pt idx="5">
                  <c:v>19_Krušné</c:v>
                </c:pt>
                <c:pt idx="6">
                  <c:v>20_Krkonoše</c:v>
                </c:pt>
                <c:pt idx="7">
                  <c:v>21_Jeseníky</c:v>
                </c:pt>
                <c:pt idx="8">
                  <c:v>22_Sever</c:v>
                </c:pt>
                <c:pt idx="9">
                  <c:v>23_Východ</c:v>
                </c:pt>
                <c:pt idx="10">
                  <c:v>24_Drážďany</c:v>
                </c:pt>
              </c:strCache>
            </c:strRef>
          </c:cat>
          <c:val>
            <c:numRef>
              <c:f>'Srovnání červencových cest'!$B$11:$L$11</c:f>
              <c:numCache>
                <c:formatCode>0.00</c:formatCode>
                <c:ptCount val="11"/>
                <c:pt idx="0">
                  <c:v>76.974000000000004</c:v>
                </c:pt>
                <c:pt idx="1">
                  <c:v>106.39500000000001</c:v>
                </c:pt>
                <c:pt idx="2">
                  <c:v>99.1</c:v>
                </c:pt>
                <c:pt idx="3">
                  <c:v>82.672499999999999</c:v>
                </c:pt>
                <c:pt idx="4">
                  <c:v>98.17</c:v>
                </c:pt>
                <c:pt idx="5">
                  <c:v>101.435</c:v>
                </c:pt>
                <c:pt idx="6">
                  <c:v>76.243333333333325</c:v>
                </c:pt>
                <c:pt idx="7">
                  <c:v>80.56</c:v>
                </c:pt>
                <c:pt idx="8">
                  <c:v>82.625</c:v>
                </c:pt>
                <c:pt idx="9">
                  <c:v>84.117500000000007</c:v>
                </c:pt>
                <c:pt idx="10">
                  <c:v>70.31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FE-40ED-B057-4A10B90027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2232960"/>
        <c:axId val="1633418736"/>
      </c:lineChart>
      <c:catAx>
        <c:axId val="1632232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633418736"/>
        <c:crosses val="autoZero"/>
        <c:auto val="1"/>
        <c:lblAlgn val="ctr"/>
        <c:lblOffset val="100"/>
        <c:noMultiLvlLbl val="0"/>
      </c:catAx>
      <c:valAx>
        <c:axId val="1633418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632232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4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4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152400</xdr:colOff>
      <xdr:row>2</xdr:row>
      <xdr:rowOff>9525</xdr:rowOff>
    </xdr:from>
    <xdr:to>
      <xdr:col>22</xdr:col>
      <xdr:colOff>238125</xdr:colOff>
      <xdr:row>18</xdr:row>
      <xdr:rowOff>133350</xdr:rowOff>
    </xdr:to>
    <xdr:graphicFrame macro="">
      <xdr:nvGraphicFramePr>
        <xdr:cNvPr id="412293" name="graf 9">
          <a:extLst>
            <a:ext uri="{FF2B5EF4-FFF2-40B4-BE49-F238E27FC236}">
              <a16:creationId xmlns:a16="http://schemas.microsoft.com/office/drawing/2014/main" id="{00000000-0008-0000-0000-000085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19</xdr:row>
      <xdr:rowOff>57150</xdr:rowOff>
    </xdr:from>
    <xdr:to>
      <xdr:col>9</xdr:col>
      <xdr:colOff>504825</xdr:colOff>
      <xdr:row>36</xdr:row>
      <xdr:rowOff>142875</xdr:rowOff>
    </xdr:to>
    <xdr:graphicFrame macro="">
      <xdr:nvGraphicFramePr>
        <xdr:cNvPr id="412294" name="Graf 1">
          <a:extLst>
            <a:ext uri="{FF2B5EF4-FFF2-40B4-BE49-F238E27FC236}">
              <a16:creationId xmlns:a16="http://schemas.microsoft.com/office/drawing/2014/main" id="{00000000-0008-0000-0000-000086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276225</xdr:colOff>
      <xdr:row>1</xdr:row>
      <xdr:rowOff>152400</xdr:rowOff>
    </xdr:from>
    <xdr:to>
      <xdr:col>9</xdr:col>
      <xdr:colOff>485775</xdr:colOff>
      <xdr:row>18</xdr:row>
      <xdr:rowOff>142875</xdr:rowOff>
    </xdr:to>
    <xdr:graphicFrame macro="">
      <xdr:nvGraphicFramePr>
        <xdr:cNvPr id="412295" name="Graf 1">
          <a:extLst>
            <a:ext uri="{FF2B5EF4-FFF2-40B4-BE49-F238E27FC236}">
              <a16:creationId xmlns:a16="http://schemas.microsoft.com/office/drawing/2014/main" id="{00000000-0008-0000-0000-000087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504824</xdr:colOff>
      <xdr:row>37</xdr:row>
      <xdr:rowOff>95250</xdr:rowOff>
    </xdr:from>
    <xdr:to>
      <xdr:col>9</xdr:col>
      <xdr:colOff>552449</xdr:colOff>
      <xdr:row>56</xdr:row>
      <xdr:rowOff>57150</xdr:rowOff>
    </xdr:to>
    <xdr:graphicFrame macro="">
      <xdr:nvGraphicFramePr>
        <xdr:cNvPr id="412296" name="Graf 1">
          <a:extLst>
            <a:ext uri="{FF2B5EF4-FFF2-40B4-BE49-F238E27FC236}">
              <a16:creationId xmlns:a16="http://schemas.microsoft.com/office/drawing/2014/main" id="{00000000-0008-0000-0000-000088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76198</xdr:colOff>
      <xdr:row>19</xdr:row>
      <xdr:rowOff>47625</xdr:rowOff>
    </xdr:from>
    <xdr:to>
      <xdr:col>26</xdr:col>
      <xdr:colOff>571499</xdr:colOff>
      <xdr:row>37</xdr:row>
      <xdr:rowOff>0</xdr:rowOff>
    </xdr:to>
    <xdr:graphicFrame macro="">
      <xdr:nvGraphicFramePr>
        <xdr:cNvPr id="412298" name="Graf 1">
          <a:extLst>
            <a:ext uri="{FF2B5EF4-FFF2-40B4-BE49-F238E27FC236}">
              <a16:creationId xmlns:a16="http://schemas.microsoft.com/office/drawing/2014/main" id="{00000000-0008-0000-0000-00008A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57</xdr:row>
      <xdr:rowOff>152400</xdr:rowOff>
    </xdr:from>
    <xdr:to>
      <xdr:col>34</xdr:col>
      <xdr:colOff>38100</xdr:colOff>
      <xdr:row>92</xdr:row>
      <xdr:rowOff>152400</xdr:rowOff>
    </xdr:to>
    <xdr:grpSp>
      <xdr:nvGrpSpPr>
        <xdr:cNvPr id="4" name="Skupina 3">
          <a:extLst>
            <a:ext uri="{FF2B5EF4-FFF2-40B4-BE49-F238E27FC236}">
              <a16:creationId xmlns:a16="http://schemas.microsoft.com/office/drawing/2014/main" id="{927AA80D-CA14-4DB1-99D2-26DAEE59E16F}"/>
            </a:ext>
          </a:extLst>
        </xdr:cNvPr>
        <xdr:cNvGrpSpPr/>
      </xdr:nvGrpSpPr>
      <xdr:grpSpPr>
        <a:xfrm>
          <a:off x="0" y="9382125"/>
          <a:ext cx="20764500" cy="5667375"/>
          <a:chOff x="38100" y="10048875"/>
          <a:chExt cx="16754475" cy="5667375"/>
        </a:xfrm>
      </xdr:grpSpPr>
      <xdr:graphicFrame macro="">
        <xdr:nvGraphicFramePr>
          <xdr:cNvPr id="412297" name="Graf 5">
            <a:extLst>
              <a:ext uri="{FF2B5EF4-FFF2-40B4-BE49-F238E27FC236}">
                <a16:creationId xmlns:a16="http://schemas.microsoft.com/office/drawing/2014/main" id="{00000000-0008-0000-0000-0000894A0600}"/>
              </a:ext>
            </a:extLst>
          </xdr:cNvPr>
          <xdr:cNvGraphicFramePr>
            <a:graphicFrameLocks/>
          </xdr:cNvGraphicFramePr>
        </xdr:nvGraphicFramePr>
        <xdr:xfrm>
          <a:off x="38100" y="10048875"/>
          <a:ext cx="16754475" cy="28384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4" name="Graf 5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aphicFramePr>
            <a:graphicFrameLocks/>
          </xdr:cNvGraphicFramePr>
        </xdr:nvGraphicFramePr>
        <xdr:xfrm>
          <a:off x="152400" y="12925425"/>
          <a:ext cx="13258800" cy="27908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</xdr:grpSp>
    <xdr:clientData/>
  </xdr:twoCellAnchor>
  <xdr:twoCellAnchor>
    <xdr:from>
      <xdr:col>15</xdr:col>
      <xdr:colOff>19050</xdr:colOff>
      <xdr:row>143</xdr:row>
      <xdr:rowOff>131417</xdr:rowOff>
    </xdr:from>
    <xdr:to>
      <xdr:col>29</xdr:col>
      <xdr:colOff>428625</xdr:colOff>
      <xdr:row>154</xdr:row>
      <xdr:rowOff>126049</xdr:rowOff>
    </xdr:to>
    <xdr:graphicFrame macro="">
      <xdr:nvGraphicFramePr>
        <xdr:cNvPr id="412300" name="Graf 1">
          <a:extLst>
            <a:ext uri="{FF2B5EF4-FFF2-40B4-BE49-F238E27FC236}">
              <a16:creationId xmlns:a16="http://schemas.microsoft.com/office/drawing/2014/main" id="{00000000-0008-0000-0000-00008C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155</xdr:row>
      <xdr:rowOff>43468</xdr:rowOff>
    </xdr:from>
    <xdr:to>
      <xdr:col>14</xdr:col>
      <xdr:colOff>476250</xdr:colOff>
      <xdr:row>166</xdr:row>
      <xdr:rowOff>38100</xdr:rowOff>
    </xdr:to>
    <xdr:graphicFrame macro="">
      <xdr:nvGraphicFramePr>
        <xdr:cNvPr id="412303" name="Graf 1">
          <a:extLst>
            <a:ext uri="{FF2B5EF4-FFF2-40B4-BE49-F238E27FC236}">
              <a16:creationId xmlns:a16="http://schemas.microsoft.com/office/drawing/2014/main" id="{00000000-0008-0000-0000-00008F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19050</xdr:colOff>
      <xdr:row>155</xdr:row>
      <xdr:rowOff>42610</xdr:rowOff>
    </xdr:from>
    <xdr:to>
      <xdr:col>29</xdr:col>
      <xdr:colOff>428625</xdr:colOff>
      <xdr:row>166</xdr:row>
      <xdr:rowOff>37242</xdr:rowOff>
    </xdr:to>
    <xdr:graphicFrame macro="">
      <xdr:nvGraphicFramePr>
        <xdr:cNvPr id="412304" name="Graf 1">
          <a:extLst>
            <a:ext uri="{FF2B5EF4-FFF2-40B4-BE49-F238E27FC236}">
              <a16:creationId xmlns:a16="http://schemas.microsoft.com/office/drawing/2014/main" id="{00000000-0008-0000-0000-000090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85725</xdr:colOff>
      <xdr:row>143</xdr:row>
      <xdr:rowOff>151894</xdr:rowOff>
    </xdr:from>
    <xdr:to>
      <xdr:col>14</xdr:col>
      <xdr:colOff>495300</xdr:colOff>
      <xdr:row>154</xdr:row>
      <xdr:rowOff>146526</xdr:rowOff>
    </xdr:to>
    <xdr:graphicFrame macro="">
      <xdr:nvGraphicFramePr>
        <xdr:cNvPr id="412302" name="Graf 1">
          <a:extLst>
            <a:ext uri="{FF2B5EF4-FFF2-40B4-BE49-F238E27FC236}">
              <a16:creationId xmlns:a16="http://schemas.microsoft.com/office/drawing/2014/main" id="{00000000-0008-0000-0000-00008E4A0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15</xdr:col>
      <xdr:colOff>28575</xdr:colOff>
      <xdr:row>132</xdr:row>
      <xdr:rowOff>85725</xdr:rowOff>
    </xdr:from>
    <xdr:to>
      <xdr:col>29</xdr:col>
      <xdr:colOff>438150</xdr:colOff>
      <xdr:row>143</xdr:row>
      <xdr:rowOff>80357</xdr:rowOff>
    </xdr:to>
    <xdr:graphicFrame macro="">
      <xdr:nvGraphicFramePr>
        <xdr:cNvPr id="21" name="Graf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95250</xdr:colOff>
      <xdr:row>132</xdr:row>
      <xdr:rowOff>95822</xdr:rowOff>
    </xdr:from>
    <xdr:to>
      <xdr:col>14</xdr:col>
      <xdr:colOff>504825</xdr:colOff>
      <xdr:row>143</xdr:row>
      <xdr:rowOff>90454</xdr:rowOff>
    </xdr:to>
    <xdr:graphicFrame macro="">
      <xdr:nvGraphicFramePr>
        <xdr:cNvPr id="15" name="Graf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38100</xdr:colOff>
      <xdr:row>121</xdr:row>
      <xdr:rowOff>28575</xdr:rowOff>
    </xdr:from>
    <xdr:to>
      <xdr:col>29</xdr:col>
      <xdr:colOff>447675</xdr:colOff>
      <xdr:row>132</xdr:row>
      <xdr:rowOff>23207</xdr:rowOff>
    </xdr:to>
    <xdr:graphicFrame macro="">
      <xdr:nvGraphicFramePr>
        <xdr:cNvPr id="18" name="Graf 1">
          <a:extLst>
            <a:ext uri="{FF2B5EF4-FFF2-40B4-BE49-F238E27FC236}">
              <a16:creationId xmlns:a16="http://schemas.microsoft.com/office/drawing/2014/main" id="{30F1E176-A24B-4E23-93EC-EC750011AF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66675</xdr:colOff>
      <xdr:row>121</xdr:row>
      <xdr:rowOff>28575</xdr:rowOff>
    </xdr:from>
    <xdr:to>
      <xdr:col>14</xdr:col>
      <xdr:colOff>476250</xdr:colOff>
      <xdr:row>132</xdr:row>
      <xdr:rowOff>23207</xdr:rowOff>
    </xdr:to>
    <xdr:graphicFrame macro="">
      <xdr:nvGraphicFramePr>
        <xdr:cNvPr id="19" name="Graf 1">
          <a:extLst>
            <a:ext uri="{FF2B5EF4-FFF2-40B4-BE49-F238E27FC236}">
              <a16:creationId xmlns:a16="http://schemas.microsoft.com/office/drawing/2014/main" id="{9ACD8FE0-2346-4F53-AB29-56639D480C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15</xdr:col>
      <xdr:colOff>28575</xdr:colOff>
      <xdr:row>109</xdr:row>
      <xdr:rowOff>104775</xdr:rowOff>
    </xdr:from>
    <xdr:to>
      <xdr:col>29</xdr:col>
      <xdr:colOff>438150</xdr:colOff>
      <xdr:row>120</xdr:row>
      <xdr:rowOff>99407</xdr:rowOff>
    </xdr:to>
    <xdr:graphicFrame macro="">
      <xdr:nvGraphicFramePr>
        <xdr:cNvPr id="22" name="Graf 1">
          <a:extLst>
            <a:ext uri="{FF2B5EF4-FFF2-40B4-BE49-F238E27FC236}">
              <a16:creationId xmlns:a16="http://schemas.microsoft.com/office/drawing/2014/main" id="{DCE2D22C-5333-42B5-BF27-57267CF9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85725</xdr:colOff>
      <xdr:row>167</xdr:row>
      <xdr:rowOff>57150</xdr:rowOff>
    </xdr:from>
    <xdr:to>
      <xdr:col>28</xdr:col>
      <xdr:colOff>28575</xdr:colOff>
      <xdr:row>189</xdr:row>
      <xdr:rowOff>19050</xdr:rowOff>
    </xdr:to>
    <xdr:graphicFrame macro="">
      <xdr:nvGraphicFramePr>
        <xdr:cNvPr id="23" name="Graf 22">
          <a:extLst>
            <a:ext uri="{FF2B5EF4-FFF2-40B4-BE49-F238E27FC236}">
              <a16:creationId xmlns:a16="http://schemas.microsoft.com/office/drawing/2014/main" id="{4BD3EC98-F191-4E42-BFF1-3460E6BD71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76200</xdr:colOff>
      <xdr:row>109</xdr:row>
      <xdr:rowOff>85725</xdr:rowOff>
    </xdr:from>
    <xdr:to>
      <xdr:col>14</xdr:col>
      <xdr:colOff>485775</xdr:colOff>
      <xdr:row>120</xdr:row>
      <xdr:rowOff>80357</xdr:rowOff>
    </xdr:to>
    <xdr:graphicFrame macro="">
      <xdr:nvGraphicFramePr>
        <xdr:cNvPr id="24" name="Graf 1">
          <a:extLst>
            <a:ext uri="{FF2B5EF4-FFF2-40B4-BE49-F238E27FC236}">
              <a16:creationId xmlns:a16="http://schemas.microsoft.com/office/drawing/2014/main" id="{2E06BA35-4BD5-4585-8859-D6B714CCE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15</xdr:col>
      <xdr:colOff>19050</xdr:colOff>
      <xdr:row>98</xdr:row>
      <xdr:rowOff>0</xdr:rowOff>
    </xdr:from>
    <xdr:to>
      <xdr:col>29</xdr:col>
      <xdr:colOff>428625</xdr:colOff>
      <xdr:row>108</xdr:row>
      <xdr:rowOff>156557</xdr:rowOff>
    </xdr:to>
    <xdr:graphicFrame macro="">
      <xdr:nvGraphicFramePr>
        <xdr:cNvPr id="25" name="Graf 1">
          <a:extLst>
            <a:ext uri="{FF2B5EF4-FFF2-40B4-BE49-F238E27FC236}">
              <a16:creationId xmlns:a16="http://schemas.microsoft.com/office/drawing/2014/main" id="{C079BD93-EF49-4B60-A5E7-69D158BA29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76200</xdr:colOff>
      <xdr:row>98</xdr:row>
      <xdr:rowOff>19050</xdr:rowOff>
    </xdr:from>
    <xdr:to>
      <xdr:col>14</xdr:col>
      <xdr:colOff>485775</xdr:colOff>
      <xdr:row>109</xdr:row>
      <xdr:rowOff>13682</xdr:rowOff>
    </xdr:to>
    <xdr:graphicFrame macro="">
      <xdr:nvGraphicFramePr>
        <xdr:cNvPr id="26" name="Graf 1">
          <a:extLst>
            <a:ext uri="{FF2B5EF4-FFF2-40B4-BE49-F238E27FC236}">
              <a16:creationId xmlns:a16="http://schemas.microsoft.com/office/drawing/2014/main" id="{25A7936C-DD01-473C-BF0C-BBC573C6F4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77</xdr:row>
      <xdr:rowOff>142876</xdr:rowOff>
    </xdr:from>
    <xdr:to>
      <xdr:col>10</xdr:col>
      <xdr:colOff>314325</xdr:colOff>
      <xdr:row>79</xdr:row>
      <xdr:rowOff>66676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6E767713-379B-4FD7-97D9-0F79FE95A4C4}"/>
            </a:ext>
          </a:extLst>
        </xdr:cNvPr>
        <xdr:cNvSpPr txBox="1"/>
      </xdr:nvSpPr>
      <xdr:spPr>
        <a:xfrm>
          <a:off x="11220450" y="11858626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110</xdr:row>
      <xdr:rowOff>28575</xdr:rowOff>
    </xdr:from>
    <xdr:to>
      <xdr:col>8</xdr:col>
      <xdr:colOff>28576</xdr:colOff>
      <xdr:row>113</xdr:row>
      <xdr:rowOff>38100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85409E0F-B9C8-402A-95D3-00D41CA09367}"/>
            </a:ext>
          </a:extLst>
        </xdr:cNvPr>
        <xdr:cNvSpPr txBox="1"/>
      </xdr:nvSpPr>
      <xdr:spPr>
        <a:xfrm>
          <a:off x="9906000" y="17116425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cs-CZ" sz="1100"/>
        </a:p>
      </xdr:txBody>
    </xdr:sp>
    <xdr:clientData/>
  </xdr:twoCellAnchor>
  <xdr:twoCellAnchor>
    <xdr:from>
      <xdr:col>7</xdr:col>
      <xdr:colOff>19050</xdr:colOff>
      <xdr:row>23</xdr:row>
      <xdr:rowOff>152400</xdr:rowOff>
    </xdr:from>
    <xdr:to>
      <xdr:col>7</xdr:col>
      <xdr:colOff>1162051</xdr:colOff>
      <xdr:row>24</xdr:row>
      <xdr:rowOff>152400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52F65E58-A9AC-46F7-BFDF-B8EB15750E7E}"/>
            </a:ext>
          </a:extLst>
        </xdr:cNvPr>
        <xdr:cNvSpPr txBox="1"/>
      </xdr:nvSpPr>
      <xdr:spPr>
        <a:xfrm>
          <a:off x="9982200" y="3933825"/>
          <a:ext cx="1143001" cy="161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828675</xdr:colOff>
      <xdr:row>15</xdr:row>
      <xdr:rowOff>123826</xdr:rowOff>
    </xdr:from>
    <xdr:to>
      <xdr:col>12</xdr:col>
      <xdr:colOff>542926</xdr:colOff>
      <xdr:row>18</xdr:row>
      <xdr:rowOff>123826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666A81A1-2096-4FC6-A283-35D343DF11EB}"/>
            </a:ext>
          </a:extLst>
        </xdr:cNvPr>
        <xdr:cNvSpPr txBox="1"/>
      </xdr:nvSpPr>
      <xdr:spPr>
        <a:xfrm>
          <a:off x="13801725" y="2590801"/>
          <a:ext cx="1228726" cy="4857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/>
        </a:p>
      </xdr:txBody>
    </xdr:sp>
    <xdr:clientData/>
  </xdr:twoCellAnchor>
  <xdr:twoCellAnchor>
    <xdr:from>
      <xdr:col>8</xdr:col>
      <xdr:colOff>114300</xdr:colOff>
      <xdr:row>71</xdr:row>
      <xdr:rowOff>142876</xdr:rowOff>
    </xdr:from>
    <xdr:to>
      <xdr:col>10</xdr:col>
      <xdr:colOff>314325</xdr:colOff>
      <xdr:row>73</xdr:row>
      <xdr:rowOff>66676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D1D9FF3F-0738-4780-A2BB-E679D72B0136}"/>
            </a:ext>
          </a:extLst>
        </xdr:cNvPr>
        <xdr:cNvSpPr txBox="1"/>
      </xdr:nvSpPr>
      <xdr:spPr>
        <a:xfrm>
          <a:off x="11220450" y="1177290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104</xdr:row>
      <xdr:rowOff>28575</xdr:rowOff>
    </xdr:from>
    <xdr:to>
      <xdr:col>8</xdr:col>
      <xdr:colOff>28576</xdr:colOff>
      <xdr:row>107</xdr:row>
      <xdr:rowOff>38100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E379C03-E288-4F10-89D0-75A14161581E}"/>
            </a:ext>
          </a:extLst>
        </xdr:cNvPr>
        <xdr:cNvSpPr txBox="1"/>
      </xdr:nvSpPr>
      <xdr:spPr>
        <a:xfrm>
          <a:off x="9906000" y="17030700"/>
          <a:ext cx="1228726" cy="5048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  <xdr:twoCellAnchor>
    <xdr:from>
      <xdr:col>7</xdr:col>
      <xdr:colOff>28575</xdr:colOff>
      <xdr:row>29</xdr:row>
      <xdr:rowOff>104775</xdr:rowOff>
    </xdr:from>
    <xdr:to>
      <xdr:col>8</xdr:col>
      <xdr:colOff>1</xdr:colOff>
      <xdr:row>32</xdr:row>
      <xdr:rowOff>114300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368A65C-71F7-4F52-8843-E669D86DFD3E}"/>
            </a:ext>
          </a:extLst>
        </xdr:cNvPr>
        <xdr:cNvSpPr txBox="1"/>
      </xdr:nvSpPr>
      <xdr:spPr>
        <a:xfrm>
          <a:off x="9877425" y="4924425"/>
          <a:ext cx="1228726" cy="5048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828675</xdr:colOff>
      <xdr:row>15</xdr:row>
      <xdr:rowOff>123826</xdr:rowOff>
    </xdr:from>
    <xdr:to>
      <xdr:col>12</xdr:col>
      <xdr:colOff>542926</xdr:colOff>
      <xdr:row>18</xdr:row>
      <xdr:rowOff>123826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C7D907A8-C3F5-45F2-BC4C-D6E54DCAE773}"/>
            </a:ext>
          </a:extLst>
        </xdr:cNvPr>
        <xdr:cNvSpPr txBox="1"/>
      </xdr:nvSpPr>
      <xdr:spPr>
        <a:xfrm>
          <a:off x="13801725" y="2590801"/>
          <a:ext cx="1228726" cy="4857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/>
        </a:p>
      </xdr:txBody>
    </xdr:sp>
    <xdr:clientData/>
  </xdr:twoCellAnchor>
  <xdr:twoCellAnchor>
    <xdr:from>
      <xdr:col>8</xdr:col>
      <xdr:colOff>114300</xdr:colOff>
      <xdr:row>71</xdr:row>
      <xdr:rowOff>142876</xdr:rowOff>
    </xdr:from>
    <xdr:to>
      <xdr:col>10</xdr:col>
      <xdr:colOff>314325</xdr:colOff>
      <xdr:row>73</xdr:row>
      <xdr:rowOff>66676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798BF0BB-9F1F-42AD-8943-CCD04ED3679B}"/>
            </a:ext>
          </a:extLst>
        </xdr:cNvPr>
        <xdr:cNvSpPr txBox="1"/>
      </xdr:nvSpPr>
      <xdr:spPr>
        <a:xfrm>
          <a:off x="11220450" y="1179195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57150</xdr:colOff>
      <xdr:row>104</xdr:row>
      <xdr:rowOff>28575</xdr:rowOff>
    </xdr:from>
    <xdr:to>
      <xdr:col>8</xdr:col>
      <xdr:colOff>28576</xdr:colOff>
      <xdr:row>107</xdr:row>
      <xdr:rowOff>38100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F7069CEA-3DEE-4C4E-B338-D85C7060A017}"/>
            </a:ext>
          </a:extLst>
        </xdr:cNvPr>
        <xdr:cNvSpPr txBox="1"/>
      </xdr:nvSpPr>
      <xdr:spPr>
        <a:xfrm>
          <a:off x="9906000" y="17030700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cs-CZ" sz="1100"/>
            <a:t>výměna řetězu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12</xdr:row>
      <xdr:rowOff>1</xdr:rowOff>
    </xdr:from>
    <xdr:to>
      <xdr:col>7</xdr:col>
      <xdr:colOff>1228726</xdr:colOff>
      <xdr:row>15</xdr:row>
      <xdr:rowOff>1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9553575" y="1952626"/>
          <a:ext cx="1228726" cy="4953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 (výměna zadní destičky)</a:t>
          </a:r>
        </a:p>
      </xdr:txBody>
    </xdr:sp>
    <xdr:clientData/>
  </xdr:twoCellAnchor>
  <xdr:twoCellAnchor>
    <xdr:from>
      <xdr:col>7</xdr:col>
      <xdr:colOff>1247776</xdr:colOff>
      <xdr:row>64</xdr:row>
      <xdr:rowOff>38101</xdr:rowOff>
    </xdr:from>
    <xdr:to>
      <xdr:col>10</xdr:col>
      <xdr:colOff>228600</xdr:colOff>
      <xdr:row>66</xdr:row>
      <xdr:rowOff>0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8924926" y="10572751"/>
          <a:ext cx="2105024" cy="295274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překonán rok 2013 v ujetých km </a:t>
          </a:r>
          <a:endParaRPr lang="cs-CZ" b="1">
            <a:effectLst/>
          </a:endParaRPr>
        </a:p>
        <a:p>
          <a:endParaRPr lang="cs-CZ" sz="1100"/>
        </a:p>
      </xdr:txBody>
    </xdr:sp>
    <xdr:clientData/>
  </xdr:twoCellAnchor>
  <xdr:twoCellAnchor>
    <xdr:from>
      <xdr:col>7</xdr:col>
      <xdr:colOff>1228725</xdr:colOff>
      <xdr:row>66</xdr:row>
      <xdr:rowOff>161926</xdr:rowOff>
    </xdr:from>
    <xdr:to>
      <xdr:col>10</xdr:col>
      <xdr:colOff>171450</xdr:colOff>
      <xdr:row>68</xdr:row>
      <xdr:rowOff>76201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8905875" y="11029951"/>
          <a:ext cx="2066925" cy="247650"/>
        </a:xfrm>
        <a:prstGeom prst="rect">
          <a:avLst/>
        </a:prstGeom>
        <a:solidFill>
          <a:schemeClr val="lt1"/>
        </a:solidFill>
        <a:ln w="28575" cmpd="sng">
          <a:solidFill>
            <a:sysClr val="windowText" lastClr="000000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překonán rok 2017 v ujetých km </a:t>
          </a:r>
          <a:endParaRPr lang="cs-CZ">
            <a:effectLst/>
          </a:endParaRPr>
        </a:p>
        <a:p>
          <a:endParaRPr lang="cs-CZ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55</xdr:row>
      <xdr:rowOff>76200</xdr:rowOff>
    </xdr:from>
    <xdr:to>
      <xdr:col>10</xdr:col>
      <xdr:colOff>190500</xdr:colOff>
      <xdr:row>57</xdr:row>
      <xdr:rowOff>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9715500" y="9124950"/>
          <a:ext cx="2047875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2017 v ujetých km</a:t>
          </a:r>
        </a:p>
      </xdr:txBody>
    </xdr:sp>
    <xdr:clientData/>
  </xdr:twoCellAnchor>
  <xdr:twoCellAnchor>
    <xdr:from>
      <xdr:col>8</xdr:col>
      <xdr:colOff>0</xdr:colOff>
      <xdr:row>66</xdr:row>
      <xdr:rowOff>28574</xdr:rowOff>
    </xdr:from>
    <xdr:to>
      <xdr:col>10</xdr:col>
      <xdr:colOff>209550</xdr:colOff>
      <xdr:row>67</xdr:row>
      <xdr:rowOff>152399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9705975" y="10868024"/>
          <a:ext cx="207645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2016 v ujetých km</a:t>
          </a:r>
        </a:p>
      </xdr:txBody>
    </xdr:sp>
    <xdr:clientData/>
  </xdr:twoCellAnchor>
  <xdr:twoCellAnchor>
    <xdr:from>
      <xdr:col>8</xdr:col>
      <xdr:colOff>19051</xdr:colOff>
      <xdr:row>49</xdr:row>
      <xdr:rowOff>38100</xdr:rowOff>
    </xdr:from>
    <xdr:to>
      <xdr:col>8</xdr:col>
      <xdr:colOff>666751</xdr:colOff>
      <xdr:row>50</xdr:row>
      <xdr:rowOff>123825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9725026" y="8105775"/>
          <a:ext cx="64770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</a:t>
          </a:r>
        </a:p>
      </xdr:txBody>
    </xdr:sp>
    <xdr:clientData/>
  </xdr:twoCellAnchor>
  <xdr:twoCellAnchor>
    <xdr:from>
      <xdr:col>8</xdr:col>
      <xdr:colOff>1</xdr:colOff>
      <xdr:row>79</xdr:row>
      <xdr:rowOff>28575</xdr:rowOff>
    </xdr:from>
    <xdr:to>
      <xdr:col>8</xdr:col>
      <xdr:colOff>647701</xdr:colOff>
      <xdr:row>80</xdr:row>
      <xdr:rowOff>114300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0620376" y="12982575"/>
          <a:ext cx="64770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servis</a:t>
          </a:r>
        </a:p>
      </xdr:txBody>
    </xdr:sp>
    <xdr:clientData/>
  </xdr:twoCellAnchor>
  <xdr:twoCellAnchor>
    <xdr:from>
      <xdr:col>8</xdr:col>
      <xdr:colOff>9525</xdr:colOff>
      <xdr:row>88</xdr:row>
      <xdr:rowOff>0</xdr:rowOff>
    </xdr:from>
    <xdr:to>
      <xdr:col>10</xdr:col>
      <xdr:colOff>190500</xdr:colOff>
      <xdr:row>90</xdr:row>
      <xdr:rowOff>104775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10629900" y="14478000"/>
          <a:ext cx="20478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lgDash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100"/>
            <a:t>překonán rok 2014 v ujetých km NEJDELŠÍ</a:t>
          </a:r>
          <a:r>
            <a:rPr lang="cs-CZ" sz="1100" baseline="0"/>
            <a:t> VZDÁLENOST ZA ŽIVOT</a:t>
          </a:r>
        </a:p>
        <a:p>
          <a:endParaRPr lang="cs-CZ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11</xdr:row>
      <xdr:rowOff>4762</xdr:rowOff>
    </xdr:from>
    <xdr:to>
      <xdr:col>6</xdr:col>
      <xdr:colOff>400050</xdr:colOff>
      <xdr:row>27</xdr:row>
      <xdr:rowOff>157162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11</xdr:row>
      <xdr:rowOff>0</xdr:rowOff>
    </xdr:from>
    <xdr:to>
      <xdr:col>14</xdr:col>
      <xdr:colOff>304800</xdr:colOff>
      <xdr:row>27</xdr:row>
      <xdr:rowOff>152400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28</xdr:row>
      <xdr:rowOff>85725</xdr:rowOff>
    </xdr:from>
    <xdr:to>
      <xdr:col>6</xdr:col>
      <xdr:colOff>409575</xdr:colOff>
      <xdr:row>45</xdr:row>
      <xdr:rowOff>76200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0</xdr:colOff>
      <xdr:row>28</xdr:row>
      <xdr:rowOff>66675</xdr:rowOff>
    </xdr:from>
    <xdr:to>
      <xdr:col>14</xdr:col>
      <xdr:colOff>304800</xdr:colOff>
      <xdr:row>45</xdr:row>
      <xdr:rowOff>57150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46</xdr:row>
      <xdr:rowOff>19050</xdr:rowOff>
    </xdr:from>
    <xdr:to>
      <xdr:col>10</xdr:col>
      <xdr:colOff>47625</xdr:colOff>
      <xdr:row>64</xdr:row>
      <xdr:rowOff>85725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212AAB8A-94FF-42BD-B731-7F503D294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5</xdr:row>
      <xdr:rowOff>147637</xdr:rowOff>
    </xdr:from>
    <xdr:to>
      <xdr:col>10</xdr:col>
      <xdr:colOff>0</xdr:colOff>
      <xdr:row>23</xdr:row>
      <xdr:rowOff>123825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257174</xdr:colOff>
      <xdr:row>14</xdr:row>
      <xdr:rowOff>61911</xdr:rowOff>
    </xdr:from>
    <xdr:to>
      <xdr:col>12</xdr:col>
      <xdr:colOff>495300</xdr:colOff>
      <xdr:row>31</xdr:row>
      <xdr:rowOff>76199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257174</xdr:colOff>
      <xdr:row>32</xdr:row>
      <xdr:rowOff>9525</xdr:rowOff>
    </xdr:from>
    <xdr:to>
      <xdr:col>9</xdr:col>
      <xdr:colOff>828675</xdr:colOff>
      <xdr:row>49</xdr:row>
      <xdr:rowOff>66675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C797042D-0472-4983-AD1E-4544F219B7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I17:AA138"/>
  <sheetViews>
    <sheetView tabSelected="1" topLeftCell="A94" workbookViewId="0">
      <selection activeCell="D205" sqref="D205"/>
    </sheetView>
  </sheetViews>
  <sheetFormatPr defaultRowHeight="12.75" x14ac:dyDescent="0.2"/>
  <sheetData>
    <row r="17" spans="27:27" x14ac:dyDescent="0.2">
      <c r="AA17" t="s">
        <v>220</v>
      </c>
    </row>
    <row r="138" spans="9:9" x14ac:dyDescent="0.2">
      <c r="I138" s="309"/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1"/>
  <sheetViews>
    <sheetView workbookViewId="0">
      <selection activeCell="K34" sqref="K34"/>
    </sheetView>
  </sheetViews>
  <sheetFormatPr defaultRowHeight="12.75" x14ac:dyDescent="0.2"/>
  <cols>
    <col min="1" max="1" width="9.42578125" bestFit="1" customWidth="1"/>
    <col min="2" max="2" width="11.5703125" bestFit="1" customWidth="1"/>
    <col min="3" max="3" width="10.7109375" bestFit="1" customWidth="1"/>
    <col min="4" max="4" width="11.28515625" customWidth="1"/>
    <col min="5" max="5" width="16" customWidth="1"/>
    <col min="6" max="6" width="13.42578125" bestFit="1" customWidth="1"/>
    <col min="7" max="7" width="13.42578125" customWidth="1"/>
    <col min="8" max="8" width="21.85546875" bestFit="1" customWidth="1"/>
    <col min="9" max="10" width="11.42578125" customWidth="1"/>
    <col min="11" max="11" width="14.7109375" customWidth="1"/>
    <col min="12" max="13" width="12.28515625" customWidth="1"/>
    <col min="14" max="14" width="15" customWidth="1"/>
    <col min="15" max="15" width="13.140625" customWidth="1"/>
    <col min="16" max="16" width="19.28515625" bestFit="1" customWidth="1"/>
    <col min="17" max="17" width="28.140625" bestFit="1" customWidth="1"/>
    <col min="18" max="18" width="9" bestFit="1" customWidth="1"/>
    <col min="20" max="21" width="6.28515625" bestFit="1" customWidth="1"/>
    <col min="22" max="22" width="11.28515625" customWidth="1"/>
  </cols>
  <sheetData>
    <row r="1" spans="1:23" ht="29.25" customHeight="1" thickBot="1" x14ac:dyDescent="0.25">
      <c r="B1" s="585" t="s">
        <v>206</v>
      </c>
      <c r="C1" s="586"/>
      <c r="D1" s="586"/>
      <c r="E1" s="585" t="s">
        <v>313</v>
      </c>
      <c r="F1" s="586"/>
      <c r="G1" s="587"/>
      <c r="H1" s="585" t="s">
        <v>5</v>
      </c>
      <c r="I1" s="586"/>
      <c r="J1" s="587"/>
      <c r="K1" s="586" t="s">
        <v>207</v>
      </c>
      <c r="L1" s="586"/>
      <c r="M1" s="587"/>
      <c r="N1" s="583" t="s">
        <v>314</v>
      </c>
      <c r="O1" s="583" t="s">
        <v>142</v>
      </c>
      <c r="U1" s="549" t="s">
        <v>312</v>
      </c>
      <c r="V1" s="549" t="s">
        <v>92</v>
      </c>
      <c r="W1" s="550" t="s">
        <v>1</v>
      </c>
    </row>
    <row r="2" spans="1:23" ht="16.5" thickBot="1" x14ac:dyDescent="0.3">
      <c r="A2" s="411" t="s">
        <v>92</v>
      </c>
      <c r="B2" s="412" t="s">
        <v>248</v>
      </c>
      <c r="C2" s="412" t="s">
        <v>249</v>
      </c>
      <c r="D2" s="414" t="s">
        <v>90</v>
      </c>
      <c r="E2" s="428" t="s">
        <v>248</v>
      </c>
      <c r="F2" s="412" t="s">
        <v>249</v>
      </c>
      <c r="G2" s="413" t="s">
        <v>90</v>
      </c>
      <c r="H2" s="428" t="s">
        <v>248</v>
      </c>
      <c r="I2" s="412" t="s">
        <v>249</v>
      </c>
      <c r="J2" s="413" t="s">
        <v>90</v>
      </c>
      <c r="K2" s="428" t="s">
        <v>248</v>
      </c>
      <c r="L2" s="412" t="s">
        <v>249</v>
      </c>
      <c r="M2" s="413" t="s">
        <v>90</v>
      </c>
      <c r="N2" s="584"/>
      <c r="O2" s="584"/>
      <c r="U2" s="546">
        <v>1</v>
      </c>
      <c r="V2" s="547">
        <v>2020</v>
      </c>
      <c r="W2" s="548">
        <f>D12</f>
        <v>3296.05</v>
      </c>
    </row>
    <row r="3" spans="1:23" ht="15.75" x14ac:dyDescent="0.25">
      <c r="A3" s="398">
        <v>2011</v>
      </c>
      <c r="B3" s="396">
        <f>SUM('2011'!C1:C48)</f>
        <v>1690.22</v>
      </c>
      <c r="C3" s="397" t="s">
        <v>50</v>
      </c>
      <c r="D3" s="415">
        <f>B3</f>
        <v>1690.22</v>
      </c>
      <c r="E3" s="429">
        <f>SUM('2011'!E13:E48)</f>
        <v>1.9761805555555556</v>
      </c>
      <c r="F3" s="397" t="s">
        <v>50</v>
      </c>
      <c r="G3" s="430">
        <f>E3</f>
        <v>1.9761805555555556</v>
      </c>
      <c r="H3" s="456">
        <f>AVERAGE('2011'!D13:D48)</f>
        <v>21.634166666666662</v>
      </c>
      <c r="I3" s="397" t="s">
        <v>50</v>
      </c>
      <c r="J3" s="457">
        <f>H3</f>
        <v>21.634166666666662</v>
      </c>
      <c r="K3" s="483" t="s">
        <v>50</v>
      </c>
      <c r="L3" s="397" t="s">
        <v>50</v>
      </c>
      <c r="M3" s="484" t="str">
        <f>K3</f>
        <v>-</v>
      </c>
      <c r="N3" s="524" t="s">
        <v>50</v>
      </c>
      <c r="O3" s="524" t="s">
        <v>50</v>
      </c>
      <c r="P3" s="16"/>
      <c r="Q3" s="6" t="s">
        <v>91</v>
      </c>
      <c r="U3" s="544">
        <v>2</v>
      </c>
      <c r="V3" s="533">
        <v>2023</v>
      </c>
      <c r="W3" s="354">
        <f>$D$15</f>
        <v>2868.16</v>
      </c>
    </row>
    <row r="4" spans="1:23" ht="15.75" x14ac:dyDescent="0.25">
      <c r="A4" s="399">
        <v>2012</v>
      </c>
      <c r="B4" s="384">
        <f>'2012'!$C$50</f>
        <v>2220.5300000000002</v>
      </c>
      <c r="C4" s="310" t="s">
        <v>50</v>
      </c>
      <c r="D4" s="416">
        <f t="shared" ref="D4:D10" si="0">B4</f>
        <v>2220.5300000000002</v>
      </c>
      <c r="E4" s="431">
        <f>SUM('2012'!E1:E48)</f>
        <v>4.3607175925925921</v>
      </c>
      <c r="F4" s="310" t="s">
        <v>50</v>
      </c>
      <c r="G4" s="432">
        <f t="shared" ref="G4:G10" si="1">E4</f>
        <v>4.3607175925925921</v>
      </c>
      <c r="H4" s="458">
        <f>AVERAGE('2012'!D1:D48)</f>
        <v>20.977170138888891</v>
      </c>
      <c r="I4" s="310" t="s">
        <v>50</v>
      </c>
      <c r="J4" s="459">
        <f t="shared" ref="J4:J10" si="2">H4</f>
        <v>20.977170138888891</v>
      </c>
      <c r="K4" s="485" t="s">
        <v>50</v>
      </c>
      <c r="L4" s="310" t="s">
        <v>50</v>
      </c>
      <c r="M4" s="486" t="str">
        <f t="shared" ref="M4:M10" si="3">K4</f>
        <v>-</v>
      </c>
      <c r="N4" s="510" t="s">
        <v>50</v>
      </c>
      <c r="O4" s="510" t="s">
        <v>50</v>
      </c>
      <c r="P4" s="16"/>
      <c r="Q4" s="528" t="s">
        <v>6</v>
      </c>
      <c r="R4" s="527">
        <f>40075-R5</f>
        <v>5621.9000000000015</v>
      </c>
      <c r="U4" s="544">
        <v>3</v>
      </c>
      <c r="V4" s="534">
        <v>2018</v>
      </c>
      <c r="W4" s="353">
        <f>$B$10</f>
        <v>2865.6899999999996</v>
      </c>
    </row>
    <row r="5" spans="1:23" ht="15.75" x14ac:dyDescent="0.25">
      <c r="A5" s="399">
        <v>2013</v>
      </c>
      <c r="B5" s="384">
        <f>SUM('2013'!C2:C34)</f>
        <v>1626.93</v>
      </c>
      <c r="C5" s="310" t="s">
        <v>50</v>
      </c>
      <c r="D5" s="416">
        <f t="shared" si="0"/>
        <v>1626.93</v>
      </c>
      <c r="E5" s="431">
        <f>SUM('2013'!E2:E34)</f>
        <v>3.4778703703703702</v>
      </c>
      <c r="F5" s="310" t="s">
        <v>50</v>
      </c>
      <c r="G5" s="432">
        <f t="shared" si="1"/>
        <v>3.4778703703703702</v>
      </c>
      <c r="H5" s="458">
        <f>AVERAGE('2013'!D2:D34)</f>
        <v>19.4921875</v>
      </c>
      <c r="I5" s="310" t="s">
        <v>50</v>
      </c>
      <c r="J5" s="459">
        <f t="shared" si="2"/>
        <v>19.4921875</v>
      </c>
      <c r="K5" s="485">
        <f>SUM('2013'!G12:G34)</f>
        <v>11385</v>
      </c>
      <c r="L5" s="310" t="s">
        <v>50</v>
      </c>
      <c r="M5" s="486">
        <f t="shared" si="3"/>
        <v>11385</v>
      </c>
      <c r="N5" s="510" t="s">
        <v>50</v>
      </c>
      <c r="O5" s="510" t="s">
        <v>50</v>
      </c>
      <c r="P5" s="16"/>
      <c r="Q5" s="528" t="s">
        <v>93</v>
      </c>
      <c r="R5" s="527">
        <f>D18</f>
        <v>34453.1</v>
      </c>
      <c r="U5" s="544">
        <v>4</v>
      </c>
      <c r="V5" s="535">
        <v>2019</v>
      </c>
      <c r="W5" s="355">
        <f>D11</f>
        <v>2816.1099999999979</v>
      </c>
    </row>
    <row r="6" spans="1:23" ht="16.5" thickBot="1" x14ac:dyDescent="0.3">
      <c r="A6" s="400">
        <v>2014</v>
      </c>
      <c r="B6" s="385">
        <f>SUM('2014'!B2:B66)</f>
        <v>2580.5500000000006</v>
      </c>
      <c r="C6" s="357" t="s">
        <v>50</v>
      </c>
      <c r="D6" s="417">
        <f t="shared" si="0"/>
        <v>2580.5500000000006</v>
      </c>
      <c r="E6" s="433">
        <f>SUM('2014'!C2:C66)</f>
        <v>5.5386805555555565</v>
      </c>
      <c r="F6" s="357" t="s">
        <v>50</v>
      </c>
      <c r="G6" s="434">
        <f t="shared" si="1"/>
        <v>5.5386805555555565</v>
      </c>
      <c r="H6" s="460">
        <f>AVERAGE('2014'!D2:D66)</f>
        <v>19.324913793103452</v>
      </c>
      <c r="I6" s="357" t="s">
        <v>50</v>
      </c>
      <c r="J6" s="461">
        <f t="shared" si="2"/>
        <v>19.324913793103452</v>
      </c>
      <c r="K6" s="487">
        <f>SUM('2014'!E2:E53)</f>
        <v>24437</v>
      </c>
      <c r="L6" s="357" t="s">
        <v>50</v>
      </c>
      <c r="M6" s="488">
        <f t="shared" si="3"/>
        <v>24437</v>
      </c>
      <c r="N6" s="511">
        <f>'2014'!B82/'2014'!C82</f>
        <v>43.00916666666668</v>
      </c>
      <c r="O6" s="522" t="s">
        <v>50</v>
      </c>
      <c r="P6" s="16"/>
      <c r="Q6" s="529" t="s">
        <v>147</v>
      </c>
      <c r="R6" s="526">
        <f>SUM(R4:R5)</f>
        <v>40075</v>
      </c>
      <c r="U6" s="544">
        <v>5</v>
      </c>
      <c r="V6" s="536">
        <v>2022</v>
      </c>
      <c r="W6" s="356">
        <f>$D$14</f>
        <v>2771.7899999999995</v>
      </c>
    </row>
    <row r="7" spans="1:23" ht="15.75" x14ac:dyDescent="0.25">
      <c r="A7" s="401">
        <v>2015</v>
      </c>
      <c r="B7" s="386">
        <f>SUM('2015'!B2:B67)</f>
        <v>1708.2399999999993</v>
      </c>
      <c r="C7" s="350" t="s">
        <v>50</v>
      </c>
      <c r="D7" s="418">
        <f t="shared" si="0"/>
        <v>1708.2399999999993</v>
      </c>
      <c r="E7" s="435">
        <f>SUM('2015'!C2:C67)</f>
        <v>5.4506481481481499</v>
      </c>
      <c r="F7" s="350" t="s">
        <v>50</v>
      </c>
      <c r="G7" s="436">
        <f t="shared" si="1"/>
        <v>5.4506481481481499</v>
      </c>
      <c r="H7" s="462">
        <f>AVERAGE('2015'!D2:D67)</f>
        <v>19.150192307692297</v>
      </c>
      <c r="I7" s="350" t="s">
        <v>50</v>
      </c>
      <c r="J7" s="463">
        <f t="shared" si="2"/>
        <v>19.150192307692297</v>
      </c>
      <c r="K7" s="489">
        <f>SUM('2015'!E2:E70)</f>
        <v>18623</v>
      </c>
      <c r="L7" s="350" t="s">
        <v>50</v>
      </c>
      <c r="M7" s="490">
        <f t="shared" si="3"/>
        <v>18623</v>
      </c>
      <c r="N7" s="512">
        <f>'2015'!B80/'2015'!C80</f>
        <v>31.058909090909079</v>
      </c>
      <c r="O7" s="523" t="s">
        <v>50</v>
      </c>
      <c r="P7" s="16"/>
      <c r="Q7" s="530" t="s">
        <v>317</v>
      </c>
      <c r="R7" s="525">
        <f>R8/8848.86</f>
        <v>38.491511900968035</v>
      </c>
      <c r="U7" s="544">
        <v>6</v>
      </c>
      <c r="V7" s="543">
        <v>2024</v>
      </c>
      <c r="W7" s="358">
        <f>$D$16</f>
        <v>2624.93</v>
      </c>
    </row>
    <row r="8" spans="1:23" ht="15.75" x14ac:dyDescent="0.25">
      <c r="A8" s="402">
        <v>2016</v>
      </c>
      <c r="B8" s="387">
        <f>SUM('2016'!D2:D66)</f>
        <v>2001.8199999999993</v>
      </c>
      <c r="C8" s="351" t="s">
        <v>50</v>
      </c>
      <c r="D8" s="419">
        <f t="shared" si="0"/>
        <v>2001.8199999999993</v>
      </c>
      <c r="E8" s="437">
        <f>SUM('2016'!E2:E70)</f>
        <v>9.0383564814814807</v>
      </c>
      <c r="F8" s="351" t="s">
        <v>50</v>
      </c>
      <c r="G8" s="438">
        <f t="shared" si="1"/>
        <v>9.0383564814814807</v>
      </c>
      <c r="H8" s="464">
        <f>AVERAGE('2016'!F2:F66)</f>
        <v>18.516129032258064</v>
      </c>
      <c r="I8" s="351" t="s">
        <v>50</v>
      </c>
      <c r="J8" s="465">
        <f t="shared" si="2"/>
        <v>18.516129032258064</v>
      </c>
      <c r="K8" s="491">
        <f>SUM('2016'!G2:G70)</f>
        <v>21711</v>
      </c>
      <c r="L8" s="351" t="s">
        <v>50</v>
      </c>
      <c r="M8" s="492">
        <f t="shared" si="3"/>
        <v>21711</v>
      </c>
      <c r="N8" s="513">
        <f>'2016'!C83/'2016'!D83</f>
        <v>32.363492063492053</v>
      </c>
      <c r="O8" s="513">
        <f>'2016'!I67/B8</f>
        <v>3.4653465346534666</v>
      </c>
      <c r="P8" s="16"/>
      <c r="Q8" s="528" t="s">
        <v>315</v>
      </c>
      <c r="R8" s="571">
        <f>M18</f>
        <v>340606</v>
      </c>
      <c r="U8" s="544">
        <v>7</v>
      </c>
      <c r="V8" s="537">
        <v>2014</v>
      </c>
      <c r="W8" s="357">
        <f>$B$6</f>
        <v>2580.5500000000006</v>
      </c>
    </row>
    <row r="9" spans="1:23" ht="15.75" x14ac:dyDescent="0.25">
      <c r="A9" s="403">
        <v>2017</v>
      </c>
      <c r="B9" s="388">
        <f>SUM('2017'!D2:D66)</f>
        <v>1660.56</v>
      </c>
      <c r="C9" s="349" t="s">
        <v>50</v>
      </c>
      <c r="D9" s="420">
        <f t="shared" si="0"/>
        <v>1660.56</v>
      </c>
      <c r="E9" s="439">
        <f>SUM('2017'!E2:E66)</f>
        <v>6.0966666666666658</v>
      </c>
      <c r="F9" s="349" t="s">
        <v>50</v>
      </c>
      <c r="G9" s="440">
        <f t="shared" si="1"/>
        <v>6.0966666666666658</v>
      </c>
      <c r="H9" s="466">
        <f>AVERAGE('2017'!F2:F66)</f>
        <v>19.443333333333335</v>
      </c>
      <c r="I9" s="349" t="s">
        <v>50</v>
      </c>
      <c r="J9" s="467">
        <f t="shared" si="2"/>
        <v>19.443333333333335</v>
      </c>
      <c r="K9" s="493">
        <f>SUM('2017'!G2:G66)</f>
        <v>19000</v>
      </c>
      <c r="L9" s="349" t="s">
        <v>50</v>
      </c>
      <c r="M9" s="494">
        <f t="shared" si="3"/>
        <v>19000</v>
      </c>
      <c r="N9" s="514">
        <f>'2017'!C83/'2017'!D83</f>
        <v>30.751111111111111</v>
      </c>
      <c r="O9" s="514">
        <f>'2017'!I67/B9</f>
        <v>4.3473286120344943</v>
      </c>
      <c r="P9" s="16"/>
      <c r="Q9" s="531" t="s">
        <v>150</v>
      </c>
      <c r="R9" s="397">
        <f>D18/COUNT(D3:D17)</f>
        <v>2296.8733333333334</v>
      </c>
      <c r="U9" s="544">
        <v>8</v>
      </c>
      <c r="V9" s="538">
        <v>2012</v>
      </c>
      <c r="W9" s="310">
        <f>$B$4</f>
        <v>2220.5300000000002</v>
      </c>
    </row>
    <row r="10" spans="1:23" ht="15.75" x14ac:dyDescent="0.25">
      <c r="A10" s="404">
        <v>2018</v>
      </c>
      <c r="B10" s="389">
        <f>'2018'!D112</f>
        <v>2865.6899999999996</v>
      </c>
      <c r="C10" s="353" t="s">
        <v>50</v>
      </c>
      <c r="D10" s="421">
        <f t="shared" si="0"/>
        <v>2865.6899999999996</v>
      </c>
      <c r="E10" s="441">
        <f>'2018'!E112</f>
        <v>6.1419328703703711</v>
      </c>
      <c r="F10" s="353" t="s">
        <v>50</v>
      </c>
      <c r="G10" s="442">
        <f t="shared" si="1"/>
        <v>6.1419328703703711</v>
      </c>
      <c r="H10" s="468">
        <f>'2018'!F112</f>
        <v>20.10684466019417</v>
      </c>
      <c r="I10" s="353" t="s">
        <v>50</v>
      </c>
      <c r="J10" s="469">
        <f t="shared" si="2"/>
        <v>20.10684466019417</v>
      </c>
      <c r="K10" s="495">
        <f>'2018'!G112</f>
        <v>31182</v>
      </c>
      <c r="L10" s="353" t="s">
        <v>50</v>
      </c>
      <c r="M10" s="496">
        <f t="shared" si="3"/>
        <v>31182</v>
      </c>
      <c r="N10" s="515">
        <f>'2018'!C128/'2018'!D128</f>
        <v>27.822233009708732</v>
      </c>
      <c r="O10" s="515">
        <f>'2018'!I113</f>
        <v>2.3558026164728219</v>
      </c>
      <c r="P10" s="16"/>
      <c r="Q10" s="532" t="s">
        <v>219</v>
      </c>
      <c r="R10" s="196">
        <f>G18/24</f>
        <v>3.5040301890432093</v>
      </c>
      <c r="U10" s="544">
        <v>9</v>
      </c>
      <c r="V10" s="539">
        <v>2021</v>
      </c>
      <c r="W10" s="352">
        <f>$D$13</f>
        <v>2145.9699999999998</v>
      </c>
    </row>
    <row r="11" spans="1:23" ht="15.75" x14ac:dyDescent="0.25">
      <c r="A11" s="405">
        <v>2019</v>
      </c>
      <c r="B11" s="390">
        <f>'2019'!D133</f>
        <v>2386.1299999999978</v>
      </c>
      <c r="C11" s="355">
        <f>'2019'!K6</f>
        <v>429.97999999999996</v>
      </c>
      <c r="D11" s="422">
        <f t="shared" ref="D11:D15" si="4">SUM(B11:C11)</f>
        <v>2816.1099999999979</v>
      </c>
      <c r="E11" s="443">
        <f>'2019'!E133</f>
        <v>5.1867013888888858</v>
      </c>
      <c r="F11" s="362">
        <f>'2019'!L6</f>
        <v>1.1868981481481482</v>
      </c>
      <c r="G11" s="444">
        <f t="shared" ref="G11:G15" si="5">SUM(E11:F11)</f>
        <v>6.373599537037034</v>
      </c>
      <c r="H11" s="470">
        <f>'2019'!F133</f>
        <v>20.270315789473681</v>
      </c>
      <c r="I11" s="375">
        <f>'2019'!M6</f>
        <v>14.754999999999999</v>
      </c>
      <c r="J11" s="471">
        <f>AVERAGE(H11:I11)</f>
        <v>17.51265789473684</v>
      </c>
      <c r="K11" s="497">
        <f>'2019'!G133</f>
        <v>26587</v>
      </c>
      <c r="L11" s="381">
        <f>'2019'!N6</f>
        <v>4316</v>
      </c>
      <c r="M11" s="498">
        <f>SUM(K11:L11)</f>
        <v>30903</v>
      </c>
      <c r="N11" s="516">
        <f>'2019'!E149/'2019'!F149</f>
        <v>24.353052631578937</v>
      </c>
      <c r="O11" s="516">
        <f>'2019'!I134</f>
        <v>0.66635095321713467</v>
      </c>
      <c r="P11" s="16"/>
      <c r="U11" s="544">
        <v>10</v>
      </c>
      <c r="V11" s="540">
        <v>2016</v>
      </c>
      <c r="W11" s="351">
        <f>$B$8</f>
        <v>2001.8199999999993</v>
      </c>
    </row>
    <row r="12" spans="1:23" ht="15.75" x14ac:dyDescent="0.25">
      <c r="A12" s="406">
        <v>2020</v>
      </c>
      <c r="B12" s="391">
        <f>SUM('2020'!D135)</f>
        <v>2972.9</v>
      </c>
      <c r="C12" s="359">
        <f>'2020'!K6</f>
        <v>323.14999999999998</v>
      </c>
      <c r="D12" s="423">
        <f t="shared" si="4"/>
        <v>3296.05</v>
      </c>
      <c r="E12" s="445">
        <f>SUM('2020'!E135)</f>
        <v>6.3516087962962935</v>
      </c>
      <c r="F12" s="363">
        <f>'2020'!L6</f>
        <v>0.86307870370370365</v>
      </c>
      <c r="G12" s="446">
        <f t="shared" si="5"/>
        <v>7.2146874999999975</v>
      </c>
      <c r="H12" s="472">
        <f>'2020'!F135</f>
        <v>20.405138966386552</v>
      </c>
      <c r="I12" s="376">
        <f>'2020'!M6</f>
        <v>15.0525</v>
      </c>
      <c r="J12" s="473">
        <f t="shared" ref="J12:J15" si="6">AVERAGE(H12:I12)</f>
        <v>17.728819483193277</v>
      </c>
      <c r="K12" s="499">
        <f>'2020'!G135</f>
        <v>36162</v>
      </c>
      <c r="L12" s="382">
        <f>'2020'!N6</f>
        <v>3064</v>
      </c>
      <c r="M12" s="500">
        <f t="shared" ref="M12:M16" si="7">SUM(K12:L12)</f>
        <v>39226</v>
      </c>
      <c r="N12" s="517">
        <f>'2020'!C151/'2020'!D151</f>
        <v>25.099384615384615</v>
      </c>
      <c r="O12" s="517">
        <f>'2020'!I136</f>
        <v>0.55871371388206803</v>
      </c>
      <c r="P12" s="16"/>
      <c r="U12" s="544">
        <v>11</v>
      </c>
      <c r="V12" s="541">
        <v>2015</v>
      </c>
      <c r="W12" s="350">
        <f>$B$7</f>
        <v>1708.2399999999993</v>
      </c>
    </row>
    <row r="13" spans="1:23" ht="15.75" x14ac:dyDescent="0.25">
      <c r="A13" s="407">
        <v>2021</v>
      </c>
      <c r="B13" s="392">
        <f>SUM('2021'!D135)</f>
        <v>1990.7599999999998</v>
      </c>
      <c r="C13" s="352">
        <f>'2021'!G151</f>
        <v>155.20999999999998</v>
      </c>
      <c r="D13" s="424">
        <f t="shared" si="4"/>
        <v>2145.9699999999998</v>
      </c>
      <c r="E13" s="447">
        <f>SUM('2021'!E135)</f>
        <v>4.6303472222222197</v>
      </c>
      <c r="F13" s="364">
        <f>'2021'!L6</f>
        <v>0.69256944444444446</v>
      </c>
      <c r="G13" s="448">
        <f t="shared" si="5"/>
        <v>5.3229166666666643</v>
      </c>
      <c r="H13" s="474">
        <f>'2021'!F135</f>
        <v>19.383000000000006</v>
      </c>
      <c r="I13" s="377">
        <f>'2021'!M6</f>
        <v>9.2960000000000012</v>
      </c>
      <c r="J13" s="475">
        <f t="shared" si="6"/>
        <v>14.339500000000005</v>
      </c>
      <c r="K13" s="501">
        <f>'2021'!G135</f>
        <v>25985</v>
      </c>
      <c r="L13" s="352">
        <f>'2021'!N6</f>
        <v>1546</v>
      </c>
      <c r="M13" s="502">
        <f t="shared" si="7"/>
        <v>27531</v>
      </c>
      <c r="N13" s="518">
        <f>'2021'!C151/'2021'!D151</f>
        <v>26.824624999999997</v>
      </c>
      <c r="O13" s="518">
        <f>'2021'!I136</f>
        <v>3.7814703932166616</v>
      </c>
      <c r="P13" s="16"/>
      <c r="U13" s="544">
        <v>12</v>
      </c>
      <c r="V13" s="538">
        <v>2011</v>
      </c>
      <c r="W13" s="310">
        <f>$B$3</f>
        <v>1690.22</v>
      </c>
    </row>
    <row r="14" spans="1:23" ht="15.75" x14ac:dyDescent="0.25">
      <c r="A14" s="408">
        <v>2022</v>
      </c>
      <c r="B14" s="393">
        <f>'2022'!D141</f>
        <v>2597.4199999999996</v>
      </c>
      <c r="C14" s="356">
        <f>'2022'!G157</f>
        <v>174.37</v>
      </c>
      <c r="D14" s="425">
        <f t="shared" si="4"/>
        <v>2771.7899999999995</v>
      </c>
      <c r="E14" s="449">
        <f>'2022'!E141</f>
        <v>5.8147337962962959</v>
      </c>
      <c r="F14" s="365">
        <f>'2022'!M5</f>
        <v>0.74070601851851858</v>
      </c>
      <c r="G14" s="450">
        <f t="shared" si="5"/>
        <v>6.5554398148148145</v>
      </c>
      <c r="H14" s="476">
        <f>'2022'!F141</f>
        <v>19.636790123456795</v>
      </c>
      <c r="I14" s="378">
        <f>'2022'!N5</f>
        <v>10.0425</v>
      </c>
      <c r="J14" s="477">
        <f t="shared" si="6"/>
        <v>14.839645061728397</v>
      </c>
      <c r="K14" s="503">
        <f>'2022'!G141</f>
        <v>32658</v>
      </c>
      <c r="L14" s="356">
        <f>'2022'!O5</f>
        <v>1148</v>
      </c>
      <c r="M14" s="504">
        <f t="shared" si="7"/>
        <v>33806</v>
      </c>
      <c r="N14" s="519">
        <f>'2022'!C157/'2022'!D157</f>
        <v>31.143707865168544</v>
      </c>
      <c r="O14" s="519">
        <f>'2022'!I142</f>
        <v>2.8836306796744466</v>
      </c>
      <c r="P14" s="16"/>
      <c r="U14" s="544">
        <v>13</v>
      </c>
      <c r="V14" s="542">
        <v>2017</v>
      </c>
      <c r="W14" s="349">
        <f>$B$9</f>
        <v>1660.56</v>
      </c>
    </row>
    <row r="15" spans="1:23" ht="15.75" x14ac:dyDescent="0.25">
      <c r="A15" s="409">
        <v>2023</v>
      </c>
      <c r="B15" s="394">
        <f>'2023'!D141</f>
        <v>2639.6099999999997</v>
      </c>
      <c r="C15" s="354">
        <f>'2023'!G157</f>
        <v>228.55</v>
      </c>
      <c r="D15" s="426">
        <f t="shared" si="4"/>
        <v>2868.16</v>
      </c>
      <c r="E15" s="451">
        <f>'2023'!E141</f>
        <v>5.695162037037039</v>
      </c>
      <c r="F15" s="366">
        <f>'2023'!F163</f>
        <v>0.90422453703703698</v>
      </c>
      <c r="G15" s="452">
        <f t="shared" si="5"/>
        <v>6.5993865740740763</v>
      </c>
      <c r="H15" s="478">
        <f>'2023'!$F$141</f>
        <v>20.092873563218394</v>
      </c>
      <c r="I15" s="379">
        <f>'2023'!G163</f>
        <v>10.48</v>
      </c>
      <c r="J15" s="479">
        <f t="shared" si="6"/>
        <v>15.286436781609197</v>
      </c>
      <c r="K15" s="505">
        <f>'2023'!$G$141</f>
        <v>32369</v>
      </c>
      <c r="L15" s="354">
        <f>'2023'!H163</f>
        <v>1861</v>
      </c>
      <c r="M15" s="506">
        <f t="shared" si="7"/>
        <v>34230</v>
      </c>
      <c r="N15" s="520">
        <f>'2023'!$C$157/'2023'!$D$157</f>
        <v>28.681599999999992</v>
      </c>
      <c r="O15" s="520">
        <f>'2023'!I142</f>
        <v>0</v>
      </c>
      <c r="P15" s="16"/>
      <c r="U15" s="544">
        <v>14</v>
      </c>
      <c r="V15" s="538">
        <v>2013</v>
      </c>
      <c r="W15" s="310">
        <f>$B$5</f>
        <v>1626.93</v>
      </c>
    </row>
    <row r="16" spans="1:23" ht="16.5" thickBot="1" x14ac:dyDescent="0.3">
      <c r="A16" s="410">
        <v>2024</v>
      </c>
      <c r="B16" s="395">
        <f>'2024'!$D$141</f>
        <v>2154.4299999999998</v>
      </c>
      <c r="C16" s="361">
        <f>'2024'!$G$157</f>
        <v>470.5</v>
      </c>
      <c r="D16" s="427">
        <f>SUM($B$16:$C$16)</f>
        <v>2624.93</v>
      </c>
      <c r="E16" s="453">
        <f>'2024'!$E$141</f>
        <v>4.7013425925925896</v>
      </c>
      <c r="F16" s="454">
        <f>'2024'!$F$163</f>
        <v>1.6392824074074077</v>
      </c>
      <c r="G16" s="455">
        <f>SUM($E$16:$F$16)</f>
        <v>6.3406249999999975</v>
      </c>
      <c r="H16" s="480">
        <f>'2024'!$F$141</f>
        <v>19.809999999999999</v>
      </c>
      <c r="I16" s="481">
        <f>'2024'!$G$163</f>
        <v>11.54684210526316</v>
      </c>
      <c r="J16" s="482">
        <f>AVERAGE(H16:I16)</f>
        <v>15.678421052631579</v>
      </c>
      <c r="K16" s="507">
        <f>'2024'!$G$141</f>
        <v>25971</v>
      </c>
      <c r="L16" s="508">
        <f>'2024'!$H$163</f>
        <v>4261</v>
      </c>
      <c r="M16" s="509">
        <f t="shared" si="7"/>
        <v>30232</v>
      </c>
      <c r="N16" s="521">
        <f>'2024'!$C$157/'2024'!$D$157</f>
        <v>30.881529411764703</v>
      </c>
      <c r="O16" s="521">
        <f>'2024'!$I$142</f>
        <v>1.2526048313669318</v>
      </c>
      <c r="P16" s="16"/>
      <c r="U16" s="545">
        <v>15</v>
      </c>
      <c r="V16" s="559">
        <v>2025</v>
      </c>
      <c r="W16" s="559">
        <f>D17</f>
        <v>1575.55</v>
      </c>
    </row>
    <row r="17" spans="1:17" ht="16.5" thickBot="1" x14ac:dyDescent="0.3">
      <c r="A17" s="558">
        <v>2025</v>
      </c>
      <c r="B17" s="559">
        <f>'2025'!$D$139</f>
        <v>1437.01</v>
      </c>
      <c r="C17" s="559">
        <f>'2025'!$G$155</f>
        <v>138.54</v>
      </c>
      <c r="D17" s="560">
        <f>SUM($B$17:$C$17)</f>
        <v>1575.55</v>
      </c>
      <c r="E17" s="561">
        <f>'2025'!$E$139</f>
        <v>3.0704282407407417</v>
      </c>
      <c r="F17" s="562">
        <f>'2025'!$F$161</f>
        <v>0.53858796296296307</v>
      </c>
      <c r="G17" s="563">
        <f>SUM($E$17:$F$17)</f>
        <v>3.609016203703705</v>
      </c>
      <c r="H17" s="564">
        <f>'2025'!$F$139</f>
        <v>20.161282051282051</v>
      </c>
      <c r="I17" s="565">
        <f>'2025'!$G$161</f>
        <v>11.164999999999999</v>
      </c>
      <c r="J17" s="566">
        <f>AVERAGE(H17:I17)</f>
        <v>15.663141025641025</v>
      </c>
      <c r="K17" s="567">
        <f>'2025'!$G$139</f>
        <v>16333</v>
      </c>
      <c r="L17" s="568">
        <f>'2025'!$H$161</f>
        <v>2007</v>
      </c>
      <c r="M17" s="569">
        <f t="shared" ref="M17" si="8">SUM(K17:L17)</f>
        <v>18340</v>
      </c>
      <c r="N17" s="570">
        <f>'2025'!$C$155/'2025'!$D$155</f>
        <v>32.154081632653067</v>
      </c>
      <c r="O17" s="570">
        <f>'2025'!$I$140</f>
        <v>2.1065659610929512</v>
      </c>
      <c r="P17" s="16"/>
    </row>
    <row r="18" spans="1:17" ht="16.5" thickBot="1" x14ac:dyDescent="0.3">
      <c r="A18" s="367" t="s">
        <v>90</v>
      </c>
      <c r="B18" s="368">
        <f>SUM(B3:B17)</f>
        <v>32532.799999999996</v>
      </c>
      <c r="C18" s="368">
        <f>SUM(C11:C17)</f>
        <v>1920.3</v>
      </c>
      <c r="D18" s="369">
        <f>SUM(D3:D17)</f>
        <v>34453.1</v>
      </c>
      <c r="E18" s="370">
        <f>SUM(E3:E17)</f>
        <v>77.531377314814804</v>
      </c>
      <c r="F18" s="370">
        <f>SUM(F11:F17)</f>
        <v>6.5653472222222229</v>
      </c>
      <c r="G18" s="371">
        <f>SUM(G3:G17)</f>
        <v>84.096724537037019</v>
      </c>
      <c r="H18" s="372">
        <f>AVERAGE(H3:H17)</f>
        <v>19.893622528396957</v>
      </c>
      <c r="I18" s="380">
        <f>AVERAGE(I11:I17)</f>
        <v>11.762548872180449</v>
      </c>
      <c r="J18" s="380">
        <f>AVERAGE(J3:J17)</f>
        <v>17.979570582111812</v>
      </c>
      <c r="K18" s="383">
        <f>SUM(K5:K17)</f>
        <v>322403</v>
      </c>
      <c r="L18" s="383">
        <f>SUM(L11:L17)</f>
        <v>18203</v>
      </c>
      <c r="M18" s="373">
        <f>SUM(M5:M17)</f>
        <v>340606</v>
      </c>
      <c r="N18" s="373">
        <f>AVERAGE(N6,N7,N8,N9,N10,N11,N12,N13,N14,N15,N16,N17)</f>
        <v>30.345241091536455</v>
      </c>
      <c r="O18" s="374">
        <f>AVERAGE(O8:O11,O12,O13,O14,O15,O16,O17)</f>
        <v>2.1417814295610977</v>
      </c>
    </row>
    <row r="19" spans="1:17" ht="15.75" x14ac:dyDescent="0.25">
      <c r="A19" s="105"/>
      <c r="B19" s="106"/>
      <c r="C19" s="106"/>
      <c r="D19" s="106"/>
      <c r="E19" s="107"/>
      <c r="F19" s="107"/>
      <c r="G19" s="107"/>
      <c r="H19" s="106"/>
      <c r="I19" s="106"/>
      <c r="J19" s="106"/>
      <c r="K19" s="108"/>
      <c r="L19" s="108"/>
      <c r="M19" s="108"/>
      <c r="N19" s="108"/>
      <c r="O19" s="106"/>
    </row>
    <row r="22" spans="1:17" x14ac:dyDescent="0.2">
      <c r="K22" s="11"/>
      <c r="L22" s="11"/>
      <c r="M22" s="11"/>
      <c r="N22" s="11"/>
    </row>
    <row r="23" spans="1:17" x14ac:dyDescent="0.2">
      <c r="E23" s="103"/>
      <c r="F23" s="103"/>
      <c r="G23" s="103"/>
      <c r="H23" s="101"/>
      <c r="I23" s="101"/>
      <c r="J23" s="101"/>
    </row>
    <row r="24" spans="1:17" x14ac:dyDescent="0.2">
      <c r="E24" s="103"/>
      <c r="F24" s="103"/>
      <c r="G24" s="103"/>
      <c r="H24" s="102"/>
      <c r="I24" s="102"/>
      <c r="J24" s="102"/>
    </row>
    <row r="25" spans="1:17" x14ac:dyDescent="0.2">
      <c r="E25" s="308"/>
      <c r="F25" s="308"/>
      <c r="G25" s="308"/>
      <c r="H25" s="36"/>
      <c r="I25" s="36"/>
      <c r="J25" s="36"/>
    </row>
    <row r="26" spans="1:17" x14ac:dyDescent="0.2">
      <c r="E26" s="104"/>
      <c r="F26" s="104"/>
      <c r="G26" s="104"/>
      <c r="H26" s="36"/>
      <c r="I26" s="36"/>
      <c r="J26" s="36"/>
    </row>
    <row r="27" spans="1:17" x14ac:dyDescent="0.2">
      <c r="E27" s="288"/>
      <c r="F27" s="288"/>
      <c r="G27" s="288"/>
    </row>
    <row r="28" spans="1:17" x14ac:dyDescent="0.2">
      <c r="E28" s="288"/>
      <c r="F28" s="288"/>
      <c r="G28" s="288"/>
    </row>
    <row r="29" spans="1:17" x14ac:dyDescent="0.2">
      <c r="E29" s="33"/>
      <c r="F29" s="33"/>
      <c r="G29" s="33"/>
      <c r="Q29" s="194"/>
    </row>
    <row r="31" spans="1:17" x14ac:dyDescent="0.2">
      <c r="E31" s="33"/>
      <c r="F31" s="33"/>
      <c r="G31" s="33"/>
    </row>
  </sheetData>
  <sortState ref="U2:W16">
    <sortCondition descending="1" ref="W2:W16"/>
  </sortState>
  <mergeCells count="6">
    <mergeCell ref="O1:O2"/>
    <mergeCell ref="B1:D1"/>
    <mergeCell ref="E1:G1"/>
    <mergeCell ref="H1:J1"/>
    <mergeCell ref="K1:M1"/>
    <mergeCell ref="N1:N2"/>
  </mergeCells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ignoredErrors>
    <ignoredError sqref="K5:K6 E5" formulaRange="1"/>
    <ignoredError sqref="L18 F18 C1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5A74E-B28C-40ED-B88E-BFA860CB60FC}">
  <dimension ref="A1:Q176"/>
  <sheetViews>
    <sheetView zoomScaleNormal="100" workbookViewId="0">
      <pane ySplit="1" topLeftCell="A146" activePane="bottomLeft" state="frozen"/>
      <selection pane="bottomLeft" activeCell="I167" sqref="I167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23.28515625" bestFit="1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64" t="s">
        <v>145</v>
      </c>
      <c r="J1" s="64" t="s">
        <v>144</v>
      </c>
    </row>
    <row r="2" spans="1:15" x14ac:dyDescent="0.2">
      <c r="A2" s="129">
        <v>45726</v>
      </c>
      <c r="B2" s="112"/>
      <c r="C2" s="188"/>
      <c r="D2" s="60">
        <v>29.6</v>
      </c>
      <c r="E2" s="61">
        <v>5.9108796296296291E-2</v>
      </c>
      <c r="F2" s="148">
        <v>20.87</v>
      </c>
      <c r="G2" s="311">
        <v>224</v>
      </c>
      <c r="H2" s="555"/>
      <c r="I2" s="260" t="s">
        <v>381</v>
      </c>
      <c r="J2" s="261">
        <v>3319</v>
      </c>
      <c r="K2" s="275"/>
    </row>
    <row r="3" spans="1:15" x14ac:dyDescent="0.2">
      <c r="A3" s="129">
        <v>45728</v>
      </c>
      <c r="B3" s="112"/>
      <c r="C3" s="189"/>
      <c r="D3" s="60">
        <v>30.6</v>
      </c>
      <c r="E3" s="52">
        <v>6.0150462962962968E-2</v>
      </c>
      <c r="F3" s="149">
        <v>20.82</v>
      </c>
      <c r="G3" s="312">
        <v>297</v>
      </c>
      <c r="H3" s="555"/>
      <c r="I3" s="260"/>
      <c r="J3" s="261"/>
    </row>
    <row r="4" spans="1:15" x14ac:dyDescent="0.2">
      <c r="A4" s="129">
        <v>45734</v>
      </c>
      <c r="B4" s="112"/>
      <c r="C4" s="189"/>
      <c r="D4" s="60">
        <v>33.42</v>
      </c>
      <c r="E4" s="52">
        <v>6.7766203703703703E-2</v>
      </c>
      <c r="F4" s="149">
        <v>20.5</v>
      </c>
      <c r="G4" s="312">
        <v>273</v>
      </c>
      <c r="H4" s="555"/>
      <c r="I4" s="324"/>
      <c r="J4" s="261"/>
    </row>
    <row r="5" spans="1:15" x14ac:dyDescent="0.2">
      <c r="A5" s="129">
        <v>45740</v>
      </c>
      <c r="B5" s="112"/>
      <c r="C5" s="189"/>
      <c r="D5" s="60">
        <v>28.89</v>
      </c>
      <c r="E5" s="52">
        <v>5.6122685185185185E-2</v>
      </c>
      <c r="F5" s="149">
        <v>21.45</v>
      </c>
      <c r="G5" s="312">
        <v>255</v>
      </c>
      <c r="H5" s="555"/>
      <c r="I5" s="325"/>
      <c r="J5" s="261"/>
    </row>
    <row r="6" spans="1:15" x14ac:dyDescent="0.2">
      <c r="A6" s="129">
        <v>45754</v>
      </c>
      <c r="B6" s="112"/>
      <c r="C6" s="189"/>
      <c r="D6" s="60">
        <v>30.09</v>
      </c>
      <c r="E6" s="52">
        <v>5.9675925925925931E-2</v>
      </c>
      <c r="F6" s="149">
        <v>21.01</v>
      </c>
      <c r="G6" s="312">
        <v>316</v>
      </c>
      <c r="H6" s="556"/>
      <c r="I6" s="260"/>
      <c r="J6" s="261"/>
    </row>
    <row r="7" spans="1:15" x14ac:dyDescent="0.2">
      <c r="A7" s="129">
        <v>45755</v>
      </c>
      <c r="B7" s="112"/>
      <c r="C7" s="189"/>
      <c r="D7" s="60">
        <v>30.13</v>
      </c>
      <c r="E7" s="52">
        <v>6.1793981481481484E-2</v>
      </c>
      <c r="F7" s="149">
        <v>20.309999999999999</v>
      </c>
      <c r="G7" s="312">
        <v>338</v>
      </c>
      <c r="H7" s="555"/>
      <c r="I7" s="260"/>
      <c r="J7" s="261"/>
      <c r="K7" s="12"/>
    </row>
    <row r="8" spans="1:15" x14ac:dyDescent="0.2">
      <c r="A8" s="129">
        <v>45756</v>
      </c>
      <c r="B8" s="112"/>
      <c r="C8" s="189"/>
      <c r="D8" s="60">
        <v>29.12</v>
      </c>
      <c r="E8" s="52">
        <v>5.6099537037037038E-2</v>
      </c>
      <c r="F8" s="149">
        <v>21.63</v>
      </c>
      <c r="G8" s="312">
        <v>257</v>
      </c>
      <c r="H8" s="555"/>
      <c r="I8" s="260"/>
      <c r="J8" s="261"/>
      <c r="L8" s="186"/>
      <c r="M8" s="13"/>
      <c r="N8" s="186"/>
      <c r="O8" s="186"/>
    </row>
    <row r="9" spans="1:15" x14ac:dyDescent="0.2">
      <c r="A9" s="129">
        <v>45758</v>
      </c>
      <c r="B9" s="112"/>
      <c r="C9" s="189"/>
      <c r="D9" s="60">
        <v>62.02</v>
      </c>
      <c r="E9" s="52">
        <v>0.12570601851851851</v>
      </c>
      <c r="F9" s="149">
        <v>20.55</v>
      </c>
      <c r="G9" s="312">
        <v>643</v>
      </c>
      <c r="H9" s="556"/>
      <c r="I9" s="260"/>
      <c r="J9" s="261"/>
      <c r="L9" s="194"/>
    </row>
    <row r="10" spans="1:15" x14ac:dyDescent="0.2">
      <c r="A10" s="129">
        <v>45759</v>
      </c>
      <c r="B10" s="112"/>
      <c r="C10" s="189"/>
      <c r="D10" s="60">
        <v>6.53</v>
      </c>
      <c r="E10" s="52">
        <v>2.9328703703703704E-2</v>
      </c>
      <c r="F10" s="149">
        <v>9.27</v>
      </c>
      <c r="G10" s="312">
        <v>81</v>
      </c>
      <c r="H10" s="555" t="s">
        <v>244</v>
      </c>
      <c r="I10" s="260"/>
      <c r="J10" s="261"/>
    </row>
    <row r="11" spans="1:15" x14ac:dyDescent="0.2">
      <c r="A11" s="129">
        <v>45760</v>
      </c>
      <c r="B11" s="112"/>
      <c r="C11" s="189"/>
      <c r="D11" s="60">
        <v>8.15</v>
      </c>
      <c r="E11" s="52">
        <v>3.4016203703703708E-2</v>
      </c>
      <c r="F11" s="149">
        <v>9.99</v>
      </c>
      <c r="G11" s="312">
        <v>92</v>
      </c>
      <c r="H11" s="555" t="s">
        <v>244</v>
      </c>
      <c r="I11" s="260"/>
      <c r="J11" s="261"/>
      <c r="N11" s="36"/>
      <c r="O11" s="36"/>
    </row>
    <row r="12" spans="1:15" x14ac:dyDescent="0.2">
      <c r="A12" s="129">
        <v>45761</v>
      </c>
      <c r="B12" s="112"/>
      <c r="C12" s="189"/>
      <c r="D12" s="60">
        <v>34.75</v>
      </c>
      <c r="E12" s="52">
        <v>8.1307870370370364E-2</v>
      </c>
      <c r="F12" s="149">
        <v>17.8</v>
      </c>
      <c r="G12" s="312">
        <v>356</v>
      </c>
      <c r="H12" s="555" t="s">
        <v>375</v>
      </c>
      <c r="I12" s="326"/>
      <c r="J12" s="261"/>
      <c r="N12" s="184"/>
      <c r="O12" s="36"/>
    </row>
    <row r="13" spans="1:15" x14ac:dyDescent="0.2">
      <c r="A13" s="129">
        <v>45762</v>
      </c>
      <c r="B13" s="112"/>
      <c r="C13" s="189"/>
      <c r="D13" s="60">
        <v>40.65</v>
      </c>
      <c r="E13" s="52">
        <v>7.6689814814814808E-2</v>
      </c>
      <c r="F13" s="149">
        <v>22.08</v>
      </c>
      <c r="G13" s="312">
        <v>413</v>
      </c>
      <c r="H13" s="555"/>
      <c r="I13" s="260"/>
      <c r="J13" s="261"/>
      <c r="L13" s="186"/>
      <c r="N13" s="184"/>
      <c r="O13" s="36"/>
    </row>
    <row r="14" spans="1:15" x14ac:dyDescent="0.2">
      <c r="A14" s="129">
        <v>45769</v>
      </c>
      <c r="B14" s="112"/>
      <c r="C14" s="189"/>
      <c r="D14" s="60">
        <v>45.76</v>
      </c>
      <c r="E14" s="52">
        <v>0.10127314814814814</v>
      </c>
      <c r="F14" s="149">
        <v>18.829999999999998</v>
      </c>
      <c r="G14" s="312">
        <v>469</v>
      </c>
      <c r="H14" s="555" t="s">
        <v>375</v>
      </c>
      <c r="I14" s="326"/>
      <c r="J14" s="261"/>
      <c r="N14" s="184"/>
      <c r="O14" s="36"/>
    </row>
    <row r="15" spans="1:15" x14ac:dyDescent="0.2">
      <c r="A15" s="129">
        <v>45770</v>
      </c>
      <c r="B15" s="112"/>
      <c r="C15" s="189"/>
      <c r="D15" s="60">
        <v>34.69</v>
      </c>
      <c r="E15" s="52">
        <v>7.5601851851851851E-2</v>
      </c>
      <c r="F15" s="149">
        <v>19.12</v>
      </c>
      <c r="G15" s="312">
        <v>356</v>
      </c>
      <c r="H15" s="555"/>
      <c r="I15" s="260"/>
      <c r="J15" s="261"/>
      <c r="N15" s="184"/>
      <c r="O15" s="36"/>
    </row>
    <row r="16" spans="1:15" x14ac:dyDescent="0.2">
      <c r="A16" s="129">
        <v>45775</v>
      </c>
      <c r="B16" s="112"/>
      <c r="C16" s="189"/>
      <c r="D16" s="60">
        <v>44.26</v>
      </c>
      <c r="E16" s="52">
        <v>9.6087962962962958E-2</v>
      </c>
      <c r="F16" s="149">
        <v>19.190000000000001</v>
      </c>
      <c r="G16" s="312">
        <v>443</v>
      </c>
      <c r="H16" s="555"/>
      <c r="I16" s="326"/>
      <c r="J16" s="261"/>
      <c r="N16" s="185"/>
      <c r="O16" s="36"/>
    </row>
    <row r="17" spans="1:17" x14ac:dyDescent="0.2">
      <c r="A17" s="129">
        <v>45776</v>
      </c>
      <c r="B17" s="112"/>
      <c r="C17" s="189"/>
      <c r="D17" s="60">
        <v>55.32</v>
      </c>
      <c r="E17" s="52">
        <v>0.11062499999999999</v>
      </c>
      <c r="F17" s="149">
        <v>20.83</v>
      </c>
      <c r="G17" s="312">
        <v>631</v>
      </c>
      <c r="H17" s="555"/>
      <c r="I17" s="260"/>
      <c r="J17" s="261"/>
      <c r="N17" s="36"/>
      <c r="O17" s="36"/>
    </row>
    <row r="18" spans="1:17" x14ac:dyDescent="0.2">
      <c r="A18" s="129">
        <v>45777</v>
      </c>
      <c r="B18" s="112"/>
      <c r="C18" s="189"/>
      <c r="D18" s="60">
        <v>29.89</v>
      </c>
      <c r="E18" s="52">
        <v>5.966435185185185E-2</v>
      </c>
      <c r="F18" s="149">
        <v>20.87</v>
      </c>
      <c r="G18" s="312">
        <v>291</v>
      </c>
      <c r="H18" s="556"/>
      <c r="I18" s="260"/>
      <c r="J18" s="261"/>
      <c r="N18" s="36"/>
      <c r="O18" s="36"/>
    </row>
    <row r="19" spans="1:17" ht="15" x14ac:dyDescent="0.2">
      <c r="A19" s="129">
        <v>45778</v>
      </c>
      <c r="B19" s="112"/>
      <c r="C19" s="189"/>
      <c r="D19" s="60">
        <v>19.27</v>
      </c>
      <c r="E19" s="52">
        <v>7.2673611111111105E-2</v>
      </c>
      <c r="F19" s="149">
        <v>11.05</v>
      </c>
      <c r="G19" s="312">
        <v>375</v>
      </c>
      <c r="H19" s="556" t="s">
        <v>244</v>
      </c>
      <c r="I19" s="260"/>
      <c r="J19" s="327"/>
      <c r="K19" s="36"/>
      <c r="L19" s="36"/>
      <c r="M19" s="36"/>
      <c r="N19" s="36"/>
      <c r="O19" s="36"/>
    </row>
    <row r="20" spans="1:17" ht="14.25" x14ac:dyDescent="0.2">
      <c r="A20" s="129">
        <v>45779</v>
      </c>
      <c r="B20" s="112"/>
      <c r="C20" s="189"/>
      <c r="D20" s="60">
        <v>28.25</v>
      </c>
      <c r="E20" s="52">
        <v>0.12280092592592594</v>
      </c>
      <c r="F20" s="149">
        <v>9.85</v>
      </c>
      <c r="G20" s="312">
        <v>529</v>
      </c>
      <c r="H20" s="555" t="s">
        <v>244</v>
      </c>
      <c r="I20" s="328"/>
      <c r="J20" s="329"/>
      <c r="K20" s="97"/>
      <c r="L20" s="97"/>
      <c r="M20" s="97"/>
      <c r="N20" s="97"/>
      <c r="O20" s="97"/>
    </row>
    <row r="21" spans="1:17" x14ac:dyDescent="0.2">
      <c r="A21" s="129">
        <v>45780</v>
      </c>
      <c r="B21" s="112"/>
      <c r="C21" s="189"/>
      <c r="D21" s="60">
        <v>5.04</v>
      </c>
      <c r="E21" s="52">
        <v>1.9178240740740742E-2</v>
      </c>
      <c r="F21" s="149">
        <v>10.95</v>
      </c>
      <c r="G21" s="312">
        <v>119</v>
      </c>
      <c r="H21" s="555"/>
      <c r="I21" s="330"/>
      <c r="J21" s="329"/>
      <c r="K21" s="97"/>
      <c r="L21" s="97"/>
      <c r="M21" s="97"/>
      <c r="N21" s="97"/>
      <c r="O21" s="97"/>
    </row>
    <row r="22" spans="1:17" x14ac:dyDescent="0.2">
      <c r="A22" s="129">
        <v>45783</v>
      </c>
      <c r="B22" s="112"/>
      <c r="C22" s="189"/>
      <c r="D22" s="60">
        <v>29.22</v>
      </c>
      <c r="E22" s="52">
        <v>5.6620370370370376E-2</v>
      </c>
      <c r="F22" s="149">
        <v>21.5</v>
      </c>
      <c r="G22" s="312">
        <v>240</v>
      </c>
      <c r="H22" s="555"/>
      <c r="I22" s="330"/>
      <c r="J22" s="329"/>
      <c r="K22" s="97"/>
      <c r="O22" s="97"/>
    </row>
    <row r="23" spans="1:17" x14ac:dyDescent="0.2">
      <c r="A23" s="130">
        <v>45784</v>
      </c>
      <c r="B23" s="112"/>
      <c r="C23" s="189"/>
      <c r="D23" s="60">
        <v>40.22</v>
      </c>
      <c r="E23" s="52">
        <v>7.5185185185185188E-2</v>
      </c>
      <c r="F23" s="149">
        <v>22.29</v>
      </c>
      <c r="G23" s="312">
        <v>385</v>
      </c>
      <c r="H23" s="555"/>
      <c r="I23" s="325"/>
      <c r="J23" s="329" t="s">
        <v>220</v>
      </c>
      <c r="K23" s="97"/>
      <c r="O23" s="97"/>
    </row>
    <row r="24" spans="1:17" x14ac:dyDescent="0.2">
      <c r="A24" s="130">
        <v>45785</v>
      </c>
      <c r="B24" s="112"/>
      <c r="C24" s="189"/>
      <c r="D24" s="60">
        <v>64.25</v>
      </c>
      <c r="E24" s="52">
        <v>0.15890046296296298</v>
      </c>
      <c r="F24" s="149">
        <v>16.84</v>
      </c>
      <c r="G24" s="312">
        <v>1431</v>
      </c>
      <c r="H24" s="555"/>
      <c r="I24" s="260"/>
      <c r="J24" s="329"/>
      <c r="K24" s="97"/>
      <c r="L24" s="97"/>
      <c r="N24" s="97"/>
      <c r="O24" s="97"/>
    </row>
    <row r="25" spans="1:17" x14ac:dyDescent="0.2">
      <c r="A25" s="130">
        <v>45787</v>
      </c>
      <c r="B25" s="112"/>
      <c r="C25" s="189"/>
      <c r="D25" s="60">
        <v>41.05</v>
      </c>
      <c r="E25" s="52">
        <v>8.5671296296296287E-2</v>
      </c>
      <c r="F25" s="149">
        <v>19.96</v>
      </c>
      <c r="G25" s="312">
        <v>406</v>
      </c>
      <c r="H25" s="555"/>
      <c r="I25" s="331"/>
      <c r="J25" s="329"/>
      <c r="K25" s="97"/>
      <c r="L25" s="97"/>
      <c r="N25" s="97"/>
      <c r="O25" s="97"/>
    </row>
    <row r="26" spans="1:17" x14ac:dyDescent="0.2">
      <c r="A26" s="130">
        <v>45787</v>
      </c>
      <c r="B26" s="112"/>
      <c r="C26" s="189"/>
      <c r="D26" s="60">
        <v>9.74</v>
      </c>
      <c r="E26" s="52">
        <v>2.9965277777777775E-2</v>
      </c>
      <c r="F26" s="149">
        <v>13.55</v>
      </c>
      <c r="G26" s="312">
        <v>89</v>
      </c>
      <c r="H26" s="555" t="s">
        <v>244</v>
      </c>
      <c r="I26" s="260"/>
      <c r="J26" s="329"/>
      <c r="K26" s="97"/>
      <c r="L26" s="97"/>
      <c r="N26" s="97"/>
      <c r="O26" s="97"/>
    </row>
    <row r="27" spans="1:17" ht="13.5" thickBot="1" x14ac:dyDescent="0.25">
      <c r="A27" s="130">
        <v>45788</v>
      </c>
      <c r="B27" s="112"/>
      <c r="C27" s="189"/>
      <c r="D27" s="51">
        <v>29.29</v>
      </c>
      <c r="E27" s="52">
        <v>0.11605324074074075</v>
      </c>
      <c r="F27" s="149">
        <v>10.51</v>
      </c>
      <c r="G27" s="312">
        <v>376</v>
      </c>
      <c r="H27" s="555" t="s">
        <v>244</v>
      </c>
      <c r="I27" s="332"/>
      <c r="J27" s="264"/>
      <c r="K27" s="97"/>
      <c r="O27" s="97"/>
    </row>
    <row r="28" spans="1:17" x14ac:dyDescent="0.2">
      <c r="A28" s="130">
        <v>45789</v>
      </c>
      <c r="B28" s="112"/>
      <c r="C28" s="189"/>
      <c r="D28" s="51">
        <v>30.2</v>
      </c>
      <c r="E28" s="52">
        <v>5.454861111111111E-2</v>
      </c>
      <c r="F28" s="149">
        <v>23.06</v>
      </c>
      <c r="G28" s="312">
        <v>375</v>
      </c>
      <c r="H28" s="292"/>
      <c r="I28" s="97"/>
      <c r="K28" s="97"/>
      <c r="O28" s="97"/>
    </row>
    <row r="29" spans="1:17" x14ac:dyDescent="0.2">
      <c r="A29" s="130">
        <v>45791</v>
      </c>
      <c r="B29" s="112"/>
      <c r="C29" s="189"/>
      <c r="D29" s="51">
        <v>38.97</v>
      </c>
      <c r="E29" s="52">
        <v>7.2303240740740737E-2</v>
      </c>
      <c r="F29" s="149">
        <v>22.46</v>
      </c>
      <c r="G29" s="312">
        <v>374</v>
      </c>
      <c r="H29" s="292"/>
      <c r="I29" s="97"/>
      <c r="J29" s="97"/>
      <c r="K29" s="97"/>
      <c r="L29" s="97"/>
      <c r="N29" s="97"/>
      <c r="O29" s="97"/>
    </row>
    <row r="30" spans="1:17" x14ac:dyDescent="0.2">
      <c r="A30" s="130">
        <v>45795</v>
      </c>
      <c r="B30" s="112"/>
      <c r="C30" s="189"/>
      <c r="D30" s="51">
        <v>8.6</v>
      </c>
      <c r="E30" s="52">
        <v>3.3032407407407406E-2</v>
      </c>
      <c r="F30" s="149">
        <v>10.85</v>
      </c>
      <c r="G30" s="312">
        <v>97</v>
      </c>
      <c r="H30" s="198" t="s">
        <v>244</v>
      </c>
      <c r="N30" s="36"/>
      <c r="O30" s="184"/>
    </row>
    <row r="31" spans="1:17" x14ac:dyDescent="0.2">
      <c r="A31" s="130">
        <v>45796</v>
      </c>
      <c r="B31" s="112"/>
      <c r="C31" s="189"/>
      <c r="D31" s="51">
        <v>30.89</v>
      </c>
      <c r="E31" s="52">
        <v>6.1377314814814815E-2</v>
      </c>
      <c r="F31" s="149">
        <v>20.97</v>
      </c>
      <c r="G31" s="312">
        <v>310</v>
      </c>
      <c r="H31" s="292"/>
      <c r="N31" s="36"/>
      <c r="O31" s="185"/>
    </row>
    <row r="32" spans="1:17" ht="12.75" customHeight="1" x14ac:dyDescent="0.2">
      <c r="A32" s="130">
        <v>45797</v>
      </c>
      <c r="B32" s="112"/>
      <c r="C32" s="189"/>
      <c r="D32" s="51">
        <v>41.22</v>
      </c>
      <c r="E32" s="52">
        <v>8.1215277777777775E-2</v>
      </c>
      <c r="F32" s="149">
        <v>21.15</v>
      </c>
      <c r="G32" s="312">
        <v>493</v>
      </c>
      <c r="H32" s="292"/>
      <c r="I32" s="97"/>
      <c r="J32" s="97"/>
      <c r="K32" s="184"/>
      <c r="L32" s="184"/>
      <c r="N32" s="36"/>
      <c r="O32" s="36"/>
      <c r="P32" s="36"/>
      <c r="Q32" s="36"/>
    </row>
    <row r="33" spans="1:17" ht="12.75" customHeight="1" x14ac:dyDescent="0.2">
      <c r="A33" s="130">
        <v>45798</v>
      </c>
      <c r="B33" s="112"/>
      <c r="C33" s="189"/>
      <c r="D33" s="51">
        <v>39.090000000000003</v>
      </c>
      <c r="E33" s="52">
        <v>7.1944444444444436E-2</v>
      </c>
      <c r="F33" s="149">
        <v>22.64</v>
      </c>
      <c r="G33" s="312">
        <v>384</v>
      </c>
      <c r="H33" s="292"/>
      <c r="I33" s="97"/>
      <c r="J33" s="97"/>
      <c r="L33" s="184"/>
      <c r="M33" s="36"/>
      <c r="N33" s="36"/>
      <c r="O33" s="36"/>
      <c r="P33" s="36"/>
      <c r="Q33" s="36"/>
    </row>
    <row r="34" spans="1:17" ht="12.75" customHeight="1" x14ac:dyDescent="0.2">
      <c r="A34" s="130">
        <v>45809</v>
      </c>
      <c r="B34" s="112"/>
      <c r="C34" s="189"/>
      <c r="D34" s="51">
        <v>38.46</v>
      </c>
      <c r="E34" s="52">
        <v>0.11741898148148149</v>
      </c>
      <c r="F34" s="149">
        <v>13.65</v>
      </c>
      <c r="G34" s="312">
        <v>981</v>
      </c>
      <c r="H34" s="292"/>
      <c r="I34" s="97"/>
      <c r="J34" s="97"/>
      <c r="K34" s="36"/>
      <c r="L34" s="184"/>
      <c r="M34" s="36"/>
      <c r="N34" s="36"/>
      <c r="O34" s="36"/>
      <c r="P34" s="36"/>
      <c r="Q34" s="36"/>
    </row>
    <row r="35" spans="1:17" ht="12.75" customHeight="1" x14ac:dyDescent="0.2">
      <c r="A35" s="130">
        <v>45811</v>
      </c>
      <c r="B35" s="112"/>
      <c r="C35" s="189"/>
      <c r="D35" s="51">
        <v>40.74</v>
      </c>
      <c r="E35" s="52">
        <v>7.631944444444444E-2</v>
      </c>
      <c r="F35" s="149">
        <v>22.24</v>
      </c>
      <c r="G35" s="312">
        <v>395</v>
      </c>
      <c r="H35" s="292"/>
      <c r="I35" s="97"/>
      <c r="J35" s="97"/>
      <c r="K35" s="185"/>
      <c r="L35" s="185"/>
      <c r="M35" s="36"/>
      <c r="N35" s="36"/>
      <c r="O35" s="36"/>
      <c r="P35" s="36"/>
      <c r="Q35" s="36"/>
    </row>
    <row r="36" spans="1:17" ht="12.75" customHeight="1" x14ac:dyDescent="0.2">
      <c r="A36" s="130">
        <v>45812</v>
      </c>
      <c r="B36" s="112"/>
      <c r="C36" s="189"/>
      <c r="D36" s="51">
        <v>46.64</v>
      </c>
      <c r="E36" s="52">
        <v>8.7685185185185185E-2</v>
      </c>
      <c r="F36" s="149">
        <v>22.16</v>
      </c>
      <c r="G36" s="312">
        <v>408</v>
      </c>
      <c r="H36" s="292"/>
      <c r="I36" s="97"/>
      <c r="J36" s="97"/>
      <c r="K36" s="36"/>
      <c r="L36" s="36"/>
      <c r="M36" s="36"/>
      <c r="N36" s="36"/>
      <c r="O36" s="36"/>
      <c r="P36" s="36"/>
      <c r="Q36" s="36"/>
    </row>
    <row r="37" spans="1:17" x14ac:dyDescent="0.2">
      <c r="A37" s="130">
        <v>45813</v>
      </c>
      <c r="B37" s="112"/>
      <c r="C37" s="189"/>
      <c r="D37" s="51">
        <v>38.44</v>
      </c>
      <c r="E37" s="52">
        <v>7.2650462962962958E-2</v>
      </c>
      <c r="F37" s="149">
        <v>22.04</v>
      </c>
      <c r="G37" s="312">
        <v>341</v>
      </c>
      <c r="H37" s="292"/>
      <c r="I37" s="97"/>
      <c r="J37" s="97"/>
    </row>
    <row r="38" spans="1:17" x14ac:dyDescent="0.2">
      <c r="A38" s="130">
        <v>45817</v>
      </c>
      <c r="B38" s="112"/>
      <c r="C38" s="189"/>
      <c r="D38" s="51">
        <v>41.1</v>
      </c>
      <c r="E38" s="52">
        <v>7.8472222222222221E-2</v>
      </c>
      <c r="F38" s="149">
        <v>21.4</v>
      </c>
      <c r="G38" s="312">
        <v>395</v>
      </c>
      <c r="H38" s="292"/>
      <c r="I38" s="97"/>
      <c r="J38" s="97"/>
    </row>
    <row r="39" spans="1:17" x14ac:dyDescent="0.2">
      <c r="A39" s="130">
        <v>45819</v>
      </c>
      <c r="B39" s="112"/>
      <c r="C39" s="189"/>
      <c r="D39" s="51">
        <v>29.83</v>
      </c>
      <c r="E39" s="52">
        <v>5.8437499999999996E-2</v>
      </c>
      <c r="F39" s="149">
        <v>21.27</v>
      </c>
      <c r="G39" s="312">
        <v>267</v>
      </c>
      <c r="H39" s="292"/>
      <c r="I39" s="97"/>
      <c r="J39" s="97"/>
    </row>
    <row r="40" spans="1:17" x14ac:dyDescent="0.2">
      <c r="A40" s="130">
        <v>45820</v>
      </c>
      <c r="B40" s="112"/>
      <c r="C40" s="189"/>
      <c r="D40" s="51">
        <v>33.75</v>
      </c>
      <c r="E40" s="52">
        <v>7.2835648148148149E-2</v>
      </c>
      <c r="F40" s="149">
        <v>19.3</v>
      </c>
      <c r="G40" s="312">
        <v>358</v>
      </c>
      <c r="H40" s="292"/>
      <c r="I40" s="97"/>
      <c r="J40" s="97"/>
    </row>
    <row r="41" spans="1:17" ht="14.25" x14ac:dyDescent="0.2">
      <c r="A41" s="131">
        <v>45822</v>
      </c>
      <c r="B41" s="67" t="s">
        <v>379</v>
      </c>
      <c r="C41" s="347" t="s">
        <v>380</v>
      </c>
      <c r="D41" s="67">
        <v>58.34</v>
      </c>
      <c r="E41" s="68">
        <v>0.23531250000000001</v>
      </c>
      <c r="F41" s="150">
        <v>13.4</v>
      </c>
      <c r="G41" s="69">
        <v>1184</v>
      </c>
      <c r="H41" s="131"/>
      <c r="I41" s="97"/>
      <c r="J41" s="97"/>
    </row>
    <row r="42" spans="1:17" x14ac:dyDescent="0.2">
      <c r="A42" s="130">
        <v>45825</v>
      </c>
      <c r="B42" s="112"/>
      <c r="C42" s="189"/>
      <c r="D42" s="51">
        <v>30.71</v>
      </c>
      <c r="E42" s="52">
        <v>6.1018518518518521E-2</v>
      </c>
      <c r="F42" s="149">
        <v>20.97</v>
      </c>
      <c r="G42" s="312">
        <v>262</v>
      </c>
      <c r="H42" s="292"/>
      <c r="I42" s="97"/>
      <c r="J42" s="97"/>
    </row>
    <row r="43" spans="1:17" x14ac:dyDescent="0.2">
      <c r="A43" s="130">
        <v>45825</v>
      </c>
      <c r="B43" s="112"/>
      <c r="C43" s="189"/>
      <c r="D43" s="51">
        <v>8.1300000000000008</v>
      </c>
      <c r="E43" s="52">
        <v>2.6990740740740742E-2</v>
      </c>
      <c r="F43" s="149">
        <v>12.55</v>
      </c>
      <c r="G43" s="312">
        <v>92</v>
      </c>
      <c r="H43" s="292" t="s">
        <v>244</v>
      </c>
      <c r="I43" s="97"/>
      <c r="J43" s="97"/>
    </row>
    <row r="44" spans="1:17" x14ac:dyDescent="0.2">
      <c r="A44" s="130">
        <v>45826</v>
      </c>
      <c r="B44" s="112"/>
      <c r="C44" s="189"/>
      <c r="D44" s="51">
        <v>49.58</v>
      </c>
      <c r="E44" s="52">
        <v>0.1002662037037037</v>
      </c>
      <c r="F44" s="149">
        <v>20.6</v>
      </c>
      <c r="G44" s="312">
        <v>498</v>
      </c>
      <c r="H44" s="292"/>
      <c r="I44" s="97"/>
      <c r="J44" s="97"/>
    </row>
    <row r="45" spans="1:17" x14ac:dyDescent="0.2">
      <c r="A45" s="130">
        <v>45827</v>
      </c>
      <c r="B45" s="112"/>
      <c r="C45" s="189"/>
      <c r="D45" s="51">
        <v>33.840000000000003</v>
      </c>
      <c r="E45" s="52">
        <v>7.1585648148148148E-2</v>
      </c>
      <c r="F45" s="149">
        <v>19.690000000000001</v>
      </c>
      <c r="G45" s="312">
        <v>306</v>
      </c>
      <c r="H45" s="292"/>
      <c r="I45" s="97"/>
      <c r="J45" s="97"/>
    </row>
    <row r="46" spans="1:17" x14ac:dyDescent="0.2">
      <c r="A46" s="130">
        <v>45827</v>
      </c>
      <c r="B46" s="112"/>
      <c r="C46" s="189"/>
      <c r="D46" s="51">
        <v>10.64</v>
      </c>
      <c r="E46" s="52">
        <v>4.4108796296296299E-2</v>
      </c>
      <c r="F46" s="149">
        <v>10.050000000000001</v>
      </c>
      <c r="G46" s="312">
        <v>189</v>
      </c>
      <c r="H46" s="292" t="s">
        <v>244</v>
      </c>
      <c r="I46" s="97"/>
      <c r="J46" s="97"/>
    </row>
    <row r="47" spans="1:17" ht="15" x14ac:dyDescent="0.2">
      <c r="A47" s="130">
        <v>45827</v>
      </c>
      <c r="B47" s="112"/>
      <c r="C47" s="189"/>
      <c r="D47" s="51">
        <v>18.239999999999998</v>
      </c>
      <c r="E47" s="52">
        <v>3.8333333333333337E-2</v>
      </c>
      <c r="F47" s="149">
        <v>19.82</v>
      </c>
      <c r="G47" s="312">
        <v>290</v>
      </c>
      <c r="H47" s="292"/>
      <c r="I47" s="96"/>
      <c r="J47" s="97"/>
    </row>
    <row r="48" spans="1:17" x14ac:dyDescent="0.2">
      <c r="A48" s="130">
        <v>45828</v>
      </c>
      <c r="B48" s="112"/>
      <c r="C48" s="189"/>
      <c r="D48" s="51">
        <v>25.5</v>
      </c>
      <c r="E48" s="52">
        <v>4.9224537037037032E-2</v>
      </c>
      <c r="F48" s="149">
        <v>21.63</v>
      </c>
      <c r="G48" s="312">
        <v>254</v>
      </c>
      <c r="H48" s="292"/>
      <c r="I48" s="97"/>
      <c r="J48" s="97"/>
    </row>
    <row r="49" spans="1:14" x14ac:dyDescent="0.2">
      <c r="A49" s="130">
        <v>45830</v>
      </c>
      <c r="B49" s="112"/>
      <c r="C49" s="189"/>
      <c r="D49" s="51">
        <v>9.94</v>
      </c>
      <c r="E49" s="52">
        <v>2.9618055555555554E-2</v>
      </c>
      <c r="F49" s="149">
        <v>13.98</v>
      </c>
      <c r="G49" s="312">
        <v>87</v>
      </c>
      <c r="H49" s="292" t="s">
        <v>244</v>
      </c>
      <c r="I49" s="97"/>
      <c r="J49" s="97"/>
    </row>
    <row r="50" spans="1:14" x14ac:dyDescent="0.2">
      <c r="A50" s="130">
        <v>45832</v>
      </c>
      <c r="B50" s="112"/>
      <c r="C50" s="189"/>
      <c r="D50" s="51">
        <v>32.5</v>
      </c>
      <c r="E50" s="52">
        <v>6.6249999999999989E-2</v>
      </c>
      <c r="F50" s="149">
        <v>20.440000000000001</v>
      </c>
      <c r="G50" s="312">
        <v>315</v>
      </c>
      <c r="H50" s="292"/>
      <c r="I50" s="97"/>
      <c r="J50" s="97"/>
    </row>
    <row r="51" spans="1:14" x14ac:dyDescent="0.2">
      <c r="A51" s="130"/>
      <c r="B51" s="112"/>
      <c r="C51" s="189"/>
      <c r="D51" s="51"/>
      <c r="E51" s="52"/>
      <c r="F51" s="149"/>
      <c r="G51" s="312"/>
      <c r="H51" s="292"/>
      <c r="I51" s="97"/>
      <c r="J51" s="98"/>
    </row>
    <row r="52" spans="1:14" ht="12.75" customHeight="1" x14ac:dyDescent="0.2">
      <c r="A52" s="130"/>
      <c r="B52" s="112"/>
      <c r="C52" s="189"/>
      <c r="D52" s="51"/>
      <c r="E52" s="52"/>
      <c r="F52" s="149"/>
      <c r="G52" s="312"/>
      <c r="H52" s="292"/>
      <c r="I52" s="97"/>
      <c r="J52" s="97"/>
      <c r="N52" s="13"/>
    </row>
    <row r="53" spans="1:14" ht="15" x14ac:dyDescent="0.2">
      <c r="A53" s="130"/>
      <c r="B53" s="112"/>
      <c r="C53" s="189"/>
      <c r="D53" s="51"/>
      <c r="E53" s="52"/>
      <c r="F53" s="149"/>
      <c r="G53" s="312"/>
      <c r="H53" s="292"/>
      <c r="I53" s="96"/>
      <c r="J53" s="249"/>
    </row>
    <row r="54" spans="1:14" ht="12.75" customHeight="1" x14ac:dyDescent="0.2">
      <c r="A54" s="130"/>
      <c r="B54" s="112"/>
      <c r="C54" s="189"/>
      <c r="D54" s="51"/>
      <c r="E54" s="52"/>
      <c r="F54" s="149"/>
      <c r="G54" s="312"/>
      <c r="H54" s="292"/>
      <c r="I54" s="97"/>
    </row>
    <row r="55" spans="1:14" x14ac:dyDescent="0.2">
      <c r="A55" s="130"/>
      <c r="B55" s="112"/>
      <c r="C55" s="189"/>
      <c r="D55" s="51"/>
      <c r="E55" s="52"/>
      <c r="F55" s="149"/>
      <c r="G55" s="312"/>
      <c r="H55" s="292"/>
      <c r="I55" s="97"/>
    </row>
    <row r="56" spans="1:14" x14ac:dyDescent="0.2">
      <c r="A56" s="130"/>
      <c r="B56" s="112"/>
      <c r="C56" s="189"/>
      <c r="D56" s="51"/>
      <c r="E56" s="52"/>
      <c r="F56" s="149"/>
      <c r="G56" s="312"/>
      <c r="H56" s="292"/>
      <c r="I56" s="100"/>
    </row>
    <row r="57" spans="1:14" x14ac:dyDescent="0.2">
      <c r="A57" s="130"/>
      <c r="B57" s="112"/>
      <c r="C57" s="189"/>
      <c r="D57" s="51"/>
      <c r="E57" s="52"/>
      <c r="F57" s="149"/>
      <c r="G57" s="312"/>
      <c r="H57" s="292"/>
      <c r="I57" s="97"/>
      <c r="J57" s="97"/>
    </row>
    <row r="58" spans="1:14" ht="12.75" customHeight="1" x14ac:dyDescent="0.2">
      <c r="A58" s="130"/>
      <c r="B58" s="112"/>
      <c r="C58" s="189"/>
      <c r="D58" s="51"/>
      <c r="E58" s="52"/>
      <c r="F58" s="149"/>
      <c r="G58" s="312"/>
      <c r="H58" s="292"/>
      <c r="I58" s="97"/>
      <c r="J58" s="134"/>
    </row>
    <row r="59" spans="1:14" x14ac:dyDescent="0.2">
      <c r="A59" s="130"/>
      <c r="B59" s="112"/>
      <c r="C59" s="189"/>
      <c r="D59" s="51"/>
      <c r="E59" s="52"/>
      <c r="F59" s="149"/>
      <c r="G59" s="312"/>
      <c r="H59" s="292"/>
      <c r="I59" s="97"/>
      <c r="J59" s="97"/>
    </row>
    <row r="60" spans="1:14" x14ac:dyDescent="0.2">
      <c r="A60" s="130"/>
      <c r="B60" s="112"/>
      <c r="C60" s="189"/>
      <c r="D60" s="51"/>
      <c r="E60" s="52"/>
      <c r="F60" s="149"/>
      <c r="G60" s="312"/>
      <c r="H60" s="292"/>
      <c r="J60" s="97"/>
    </row>
    <row r="61" spans="1:14" x14ac:dyDescent="0.2">
      <c r="A61" s="130"/>
      <c r="B61" s="112"/>
      <c r="C61" s="189"/>
      <c r="D61" s="51"/>
      <c r="E61" s="52"/>
      <c r="F61" s="149"/>
      <c r="G61" s="312"/>
      <c r="H61" s="292"/>
      <c r="I61" s="97"/>
      <c r="J61" s="97"/>
    </row>
    <row r="62" spans="1:14" x14ac:dyDescent="0.2">
      <c r="A62" s="130"/>
      <c r="B62" s="112"/>
      <c r="C62" s="189"/>
      <c r="D62" s="51"/>
      <c r="E62" s="52"/>
      <c r="F62" s="149"/>
      <c r="G62" s="312"/>
      <c r="H62" s="292"/>
      <c r="I62" s="97"/>
      <c r="J62" s="134"/>
    </row>
    <row r="63" spans="1:14" x14ac:dyDescent="0.2">
      <c r="A63" s="130"/>
      <c r="B63" s="112"/>
      <c r="C63" s="189"/>
      <c r="D63" s="51"/>
      <c r="E63" s="52"/>
      <c r="F63" s="149"/>
      <c r="G63" s="312"/>
      <c r="H63" s="292"/>
      <c r="I63" s="97"/>
      <c r="J63" s="97"/>
    </row>
    <row r="64" spans="1:14" x14ac:dyDescent="0.2">
      <c r="A64" s="130"/>
      <c r="B64" s="112"/>
      <c r="C64" s="189"/>
      <c r="D64" s="51"/>
      <c r="E64" s="52"/>
      <c r="F64" s="149"/>
      <c r="G64" s="312"/>
      <c r="H64" s="292"/>
      <c r="I64" s="97"/>
      <c r="J64" s="97"/>
    </row>
    <row r="65" spans="1:10" x14ac:dyDescent="0.2">
      <c r="A65" s="130"/>
      <c r="B65" s="112"/>
      <c r="C65" s="189"/>
      <c r="D65" s="51"/>
      <c r="E65" s="52"/>
      <c r="F65" s="149"/>
      <c r="G65" s="312"/>
      <c r="H65" s="292"/>
      <c r="I65" s="97"/>
      <c r="J65" s="97"/>
    </row>
    <row r="66" spans="1:10" x14ac:dyDescent="0.2">
      <c r="A66" s="130"/>
      <c r="B66" s="112"/>
      <c r="C66" s="189"/>
      <c r="D66" s="51"/>
      <c r="E66" s="52"/>
      <c r="F66" s="149"/>
      <c r="G66" s="312"/>
      <c r="H66" s="292"/>
      <c r="I66" s="97"/>
      <c r="J66" s="97"/>
    </row>
    <row r="67" spans="1:10" x14ac:dyDescent="0.2">
      <c r="A67" s="130"/>
      <c r="B67" s="112"/>
      <c r="C67" s="189"/>
      <c r="D67" s="51"/>
      <c r="E67" s="52"/>
      <c r="F67" s="149"/>
      <c r="G67" s="312"/>
      <c r="H67" s="292"/>
    </row>
    <row r="68" spans="1:10" x14ac:dyDescent="0.2">
      <c r="A68" s="130"/>
      <c r="B68" s="112"/>
      <c r="C68" s="189"/>
      <c r="D68" s="51"/>
      <c r="E68" s="52"/>
      <c r="F68" s="149"/>
      <c r="G68" s="312"/>
      <c r="H68" s="292"/>
    </row>
    <row r="69" spans="1:10" x14ac:dyDescent="0.2">
      <c r="A69" s="130"/>
      <c r="B69" s="112"/>
      <c r="C69" s="189"/>
      <c r="D69" s="51"/>
      <c r="E69" s="52"/>
      <c r="F69" s="149"/>
      <c r="G69" s="312"/>
      <c r="H69" s="292"/>
    </row>
    <row r="70" spans="1:10" x14ac:dyDescent="0.2">
      <c r="A70" s="130"/>
      <c r="B70" s="112"/>
      <c r="C70" s="189"/>
      <c r="D70" s="51"/>
      <c r="E70" s="52"/>
      <c r="F70" s="149"/>
      <c r="G70" s="312"/>
      <c r="H70" s="292"/>
    </row>
    <row r="71" spans="1:10" x14ac:dyDescent="0.2">
      <c r="A71" s="130"/>
      <c r="B71" s="112"/>
      <c r="C71" s="189"/>
      <c r="D71" s="51"/>
      <c r="E71" s="52"/>
      <c r="F71" s="149"/>
      <c r="G71" s="312"/>
      <c r="H71" s="292"/>
      <c r="I71" s="33"/>
    </row>
    <row r="72" spans="1:10" x14ac:dyDescent="0.2">
      <c r="A72" s="130"/>
      <c r="B72" s="112"/>
      <c r="C72" s="189"/>
      <c r="D72" s="51"/>
      <c r="E72" s="52"/>
      <c r="F72" s="149"/>
      <c r="G72" s="312"/>
      <c r="H72" s="292"/>
    </row>
    <row r="73" spans="1:10" x14ac:dyDescent="0.2">
      <c r="A73" s="130"/>
      <c r="B73" s="112"/>
      <c r="C73" s="189"/>
      <c r="D73" s="51"/>
      <c r="E73" s="52"/>
      <c r="F73" s="149"/>
      <c r="G73" s="312"/>
      <c r="H73" s="292"/>
    </row>
    <row r="74" spans="1:10" x14ac:dyDescent="0.2">
      <c r="A74" s="130"/>
      <c r="B74" s="112"/>
      <c r="C74" s="189"/>
      <c r="D74" s="51"/>
      <c r="E74" s="52"/>
      <c r="F74" s="149"/>
      <c r="G74" s="312"/>
      <c r="H74" s="292"/>
    </row>
    <row r="75" spans="1:10" x14ac:dyDescent="0.2">
      <c r="A75" s="130"/>
      <c r="B75" s="112"/>
      <c r="C75" s="189"/>
      <c r="D75" s="51"/>
      <c r="E75" s="52"/>
      <c r="F75" s="149"/>
      <c r="G75" s="312"/>
      <c r="H75" s="292"/>
    </row>
    <row r="76" spans="1:10" x14ac:dyDescent="0.2">
      <c r="A76" s="130"/>
      <c r="B76" s="112"/>
      <c r="C76" s="189"/>
      <c r="D76" s="51"/>
      <c r="E76" s="52"/>
      <c r="F76" s="149"/>
      <c r="G76" s="312"/>
      <c r="H76" s="292"/>
    </row>
    <row r="77" spans="1:10" x14ac:dyDescent="0.2">
      <c r="A77" s="130"/>
      <c r="B77" s="112"/>
      <c r="C77" s="189"/>
      <c r="D77" s="51"/>
      <c r="E77" s="52"/>
      <c r="F77" s="149"/>
      <c r="G77" s="312"/>
      <c r="H77" s="292"/>
    </row>
    <row r="78" spans="1:10" x14ac:dyDescent="0.2">
      <c r="A78" s="130"/>
      <c r="B78" s="112"/>
      <c r="C78" s="189"/>
      <c r="D78" s="51"/>
      <c r="E78" s="52"/>
      <c r="F78" s="149"/>
      <c r="G78" s="312"/>
      <c r="H78" s="292"/>
    </row>
    <row r="79" spans="1:10" x14ac:dyDescent="0.2">
      <c r="A79" s="130"/>
      <c r="B79" s="112"/>
      <c r="C79" s="189"/>
      <c r="D79" s="51"/>
      <c r="E79" s="52"/>
      <c r="F79" s="149"/>
      <c r="G79" s="312"/>
      <c r="H79" s="292"/>
    </row>
    <row r="80" spans="1:10" x14ac:dyDescent="0.2">
      <c r="A80" s="130"/>
      <c r="B80" s="112"/>
      <c r="C80" s="189"/>
      <c r="D80" s="51"/>
      <c r="E80" s="52"/>
      <c r="F80" s="149"/>
      <c r="G80" s="312"/>
      <c r="H80" s="292"/>
    </row>
    <row r="81" spans="1:14" x14ac:dyDescent="0.2">
      <c r="A81" s="130"/>
      <c r="B81" s="112"/>
      <c r="C81" s="189"/>
      <c r="D81" s="51"/>
      <c r="E81" s="52"/>
      <c r="F81" s="149"/>
      <c r="G81" s="312"/>
      <c r="H81" s="292"/>
    </row>
    <row r="82" spans="1:14" ht="12" customHeight="1" x14ac:dyDescent="0.2">
      <c r="A82" s="130"/>
      <c r="B82" s="112"/>
      <c r="C82" s="189"/>
      <c r="D82" s="51"/>
      <c r="E82" s="52"/>
      <c r="F82" s="149"/>
      <c r="G82" s="312"/>
      <c r="H82" s="292"/>
    </row>
    <row r="83" spans="1:14" x14ac:dyDescent="0.2">
      <c r="A83" s="130"/>
      <c r="B83" s="112"/>
      <c r="C83" s="189"/>
      <c r="D83" s="51"/>
      <c r="E83" s="52"/>
      <c r="F83" s="149"/>
      <c r="G83" s="312"/>
      <c r="H83" s="292"/>
    </row>
    <row r="84" spans="1:14" x14ac:dyDescent="0.2">
      <c r="A84" s="130"/>
      <c r="B84" s="112"/>
      <c r="C84" s="189"/>
      <c r="D84" s="51"/>
      <c r="E84" s="52"/>
      <c r="F84" s="149"/>
      <c r="G84" s="312"/>
      <c r="H84" s="292"/>
    </row>
    <row r="85" spans="1:14" x14ac:dyDescent="0.2">
      <c r="A85" s="130"/>
      <c r="B85" s="112"/>
      <c r="C85" s="189"/>
      <c r="D85" s="51"/>
      <c r="E85" s="52"/>
      <c r="F85" s="149"/>
      <c r="G85" s="312"/>
      <c r="H85" s="292"/>
    </row>
    <row r="86" spans="1:14" x14ac:dyDescent="0.2">
      <c r="A86" s="130"/>
      <c r="B86" s="112"/>
      <c r="C86" s="189"/>
      <c r="D86" s="51"/>
      <c r="E86" s="52"/>
      <c r="F86" s="149"/>
      <c r="G86" s="312"/>
      <c r="H86" s="292"/>
    </row>
    <row r="87" spans="1:14" x14ac:dyDescent="0.2">
      <c r="A87" s="130"/>
      <c r="B87" s="112"/>
      <c r="C87" s="189"/>
      <c r="D87" s="51"/>
      <c r="E87" s="52"/>
      <c r="F87" s="149"/>
      <c r="G87" s="312"/>
      <c r="H87" s="292"/>
    </row>
    <row r="88" spans="1:14" x14ac:dyDescent="0.2">
      <c r="A88" s="130"/>
      <c r="B88" s="112"/>
      <c r="C88" s="189"/>
      <c r="D88" s="51"/>
      <c r="E88" s="52"/>
      <c r="F88" s="149"/>
      <c r="G88" s="312"/>
      <c r="H88" s="292"/>
    </row>
    <row r="89" spans="1:14" x14ac:dyDescent="0.2">
      <c r="A89" s="130"/>
      <c r="B89" s="112"/>
      <c r="C89" s="189"/>
      <c r="D89" s="51"/>
      <c r="E89" s="52"/>
      <c r="F89" s="149"/>
      <c r="G89" s="312"/>
      <c r="H89" s="292"/>
    </row>
    <row r="90" spans="1:14" x14ac:dyDescent="0.2">
      <c r="A90" s="130"/>
      <c r="B90" s="112"/>
      <c r="C90" s="189"/>
      <c r="D90" s="51"/>
      <c r="E90" s="52"/>
      <c r="F90" s="149"/>
      <c r="G90" s="312"/>
      <c r="H90" s="292"/>
    </row>
    <row r="91" spans="1:14" x14ac:dyDescent="0.2">
      <c r="A91" s="130"/>
      <c r="B91" s="112"/>
      <c r="C91" s="189"/>
      <c r="D91" s="51"/>
      <c r="E91" s="52"/>
      <c r="F91" s="149"/>
      <c r="G91" s="312"/>
      <c r="H91" s="292"/>
    </row>
    <row r="92" spans="1:14" x14ac:dyDescent="0.2">
      <c r="A92" s="130"/>
      <c r="B92" s="112"/>
      <c r="C92" s="189"/>
      <c r="D92" s="51"/>
      <c r="E92" s="52"/>
      <c r="F92" s="149"/>
      <c r="G92" s="312"/>
      <c r="H92" s="292"/>
    </row>
    <row r="93" spans="1:14" x14ac:dyDescent="0.2">
      <c r="A93" s="130"/>
      <c r="B93" s="112"/>
      <c r="C93" s="189"/>
      <c r="D93" s="51"/>
      <c r="E93" s="52"/>
      <c r="F93" s="149"/>
      <c r="G93" s="312"/>
      <c r="H93" s="292"/>
    </row>
    <row r="94" spans="1:14" x14ac:dyDescent="0.2">
      <c r="A94" s="130"/>
      <c r="B94" s="112"/>
      <c r="C94" s="189"/>
      <c r="D94" s="51"/>
      <c r="E94" s="52"/>
      <c r="F94" s="149"/>
      <c r="G94" s="312"/>
      <c r="H94" s="292"/>
      <c r="J94" s="13"/>
    </row>
    <row r="95" spans="1:14" x14ac:dyDescent="0.2">
      <c r="A95" s="130"/>
      <c r="B95" s="112"/>
      <c r="C95" s="189"/>
      <c r="D95" s="51"/>
      <c r="E95" s="52"/>
      <c r="F95" s="149"/>
      <c r="G95" s="312"/>
      <c r="H95" s="292"/>
    </row>
    <row r="96" spans="1:14" x14ac:dyDescent="0.2">
      <c r="A96" s="130"/>
      <c r="B96" s="112"/>
      <c r="C96" s="189"/>
      <c r="D96" s="51"/>
      <c r="E96" s="52"/>
      <c r="F96" s="149"/>
      <c r="G96" s="312"/>
      <c r="H96" s="292"/>
      <c r="I96" s="33"/>
      <c r="K96" s="33"/>
      <c r="L96" s="33"/>
      <c r="M96" s="33"/>
      <c r="N96" s="33"/>
    </row>
    <row r="97" spans="1:8" x14ac:dyDescent="0.2">
      <c r="A97" s="130"/>
      <c r="B97" s="112"/>
      <c r="C97" s="189"/>
      <c r="D97" s="51"/>
      <c r="E97" s="52"/>
      <c r="F97" s="149"/>
      <c r="G97" s="312"/>
      <c r="H97" s="292"/>
    </row>
    <row r="98" spans="1:8" x14ac:dyDescent="0.2">
      <c r="A98" s="130"/>
      <c r="B98" s="112"/>
      <c r="C98" s="189"/>
      <c r="D98" s="51"/>
      <c r="E98" s="52"/>
      <c r="F98" s="149"/>
      <c r="G98" s="312"/>
      <c r="H98" s="292"/>
    </row>
    <row r="99" spans="1:8" x14ac:dyDescent="0.2">
      <c r="A99" s="130"/>
      <c r="B99" s="112"/>
      <c r="C99" s="189"/>
      <c r="D99" s="51"/>
      <c r="E99" s="52"/>
      <c r="F99" s="149"/>
      <c r="G99" s="312"/>
      <c r="H99" s="292"/>
    </row>
    <row r="100" spans="1:8" x14ac:dyDescent="0.2">
      <c r="A100" s="130"/>
      <c r="B100" s="112"/>
      <c r="C100" s="189"/>
      <c r="D100" s="51"/>
      <c r="E100" s="52"/>
      <c r="F100" s="149"/>
      <c r="G100" s="312"/>
      <c r="H100" s="292"/>
    </row>
    <row r="101" spans="1:8" x14ac:dyDescent="0.2">
      <c r="A101" s="130"/>
      <c r="B101" s="112"/>
      <c r="C101" s="189"/>
      <c r="D101" s="51"/>
      <c r="E101" s="52"/>
      <c r="F101" s="149"/>
      <c r="G101" s="312"/>
      <c r="H101" s="292"/>
    </row>
    <row r="102" spans="1:8" x14ac:dyDescent="0.2">
      <c r="A102" s="130"/>
      <c r="B102" s="112"/>
      <c r="C102" s="189"/>
      <c r="D102" s="51"/>
      <c r="E102" s="52"/>
      <c r="F102" s="149"/>
      <c r="G102" s="312"/>
      <c r="H102" s="292"/>
    </row>
    <row r="103" spans="1:8" x14ac:dyDescent="0.2">
      <c r="A103" s="130"/>
      <c r="B103" s="112"/>
      <c r="C103" s="189"/>
      <c r="D103" s="51"/>
      <c r="E103" s="52"/>
      <c r="F103" s="149"/>
      <c r="G103" s="312"/>
      <c r="H103" s="292"/>
    </row>
    <row r="104" spans="1:8" x14ac:dyDescent="0.2">
      <c r="A104" s="130"/>
      <c r="B104" s="112"/>
      <c r="C104" s="189"/>
      <c r="D104" s="51"/>
      <c r="E104" s="52"/>
      <c r="F104" s="149"/>
      <c r="G104" s="312"/>
      <c r="H104" s="292"/>
    </row>
    <row r="105" spans="1:8" x14ac:dyDescent="0.2">
      <c r="A105" s="130"/>
      <c r="B105" s="112"/>
      <c r="C105" s="189"/>
      <c r="D105" s="51"/>
      <c r="E105" s="52"/>
      <c r="F105" s="149"/>
      <c r="G105" s="312"/>
      <c r="H105" s="292"/>
    </row>
    <row r="106" spans="1:8" x14ac:dyDescent="0.2">
      <c r="A106" s="130"/>
      <c r="B106" s="112"/>
      <c r="C106" s="189"/>
      <c r="D106" s="51"/>
      <c r="E106" s="52"/>
      <c r="F106" s="149"/>
      <c r="G106" s="312"/>
      <c r="H106" s="292"/>
    </row>
    <row r="107" spans="1:8" x14ac:dyDescent="0.2">
      <c r="A107" s="130"/>
      <c r="B107" s="112"/>
      <c r="C107" s="189"/>
      <c r="D107" s="51"/>
      <c r="E107" s="52"/>
      <c r="F107" s="149"/>
      <c r="G107" s="312"/>
      <c r="H107" s="292"/>
    </row>
    <row r="108" spans="1:8" x14ac:dyDescent="0.2">
      <c r="A108" s="130"/>
      <c r="B108" s="112"/>
      <c r="C108" s="189"/>
      <c r="D108" s="51"/>
      <c r="E108" s="52"/>
      <c r="F108" s="149"/>
      <c r="G108" s="312"/>
      <c r="H108" s="292"/>
    </row>
    <row r="109" spans="1:8" x14ac:dyDescent="0.2">
      <c r="A109" s="130"/>
      <c r="B109" s="112"/>
      <c r="C109" s="189"/>
      <c r="D109" s="51"/>
      <c r="E109" s="52"/>
      <c r="F109" s="149"/>
      <c r="G109" s="312"/>
      <c r="H109" s="292"/>
    </row>
    <row r="110" spans="1:8" x14ac:dyDescent="0.2">
      <c r="A110" s="130"/>
      <c r="B110" s="112"/>
      <c r="C110" s="189"/>
      <c r="D110" s="51"/>
      <c r="E110" s="52"/>
      <c r="F110" s="149"/>
      <c r="G110" s="312"/>
      <c r="H110" s="292"/>
    </row>
    <row r="111" spans="1:8" x14ac:dyDescent="0.2">
      <c r="A111" s="130"/>
      <c r="B111" s="112"/>
      <c r="C111" s="189"/>
      <c r="D111" s="51"/>
      <c r="E111" s="52"/>
      <c r="F111" s="149"/>
      <c r="G111" s="312"/>
      <c r="H111" s="292"/>
    </row>
    <row r="112" spans="1:8" x14ac:dyDescent="0.2">
      <c r="A112" s="130"/>
      <c r="B112" s="112"/>
      <c r="C112" s="189"/>
      <c r="D112" s="51"/>
      <c r="E112" s="52"/>
      <c r="F112" s="149"/>
      <c r="G112" s="312"/>
      <c r="H112" s="292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292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292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292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292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292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292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292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292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292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292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292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292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292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292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292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292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292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292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292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292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292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292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292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292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292"/>
    </row>
    <row r="138" spans="1:9" ht="13.5" thickBot="1" x14ac:dyDescent="0.25">
      <c r="A138" s="130"/>
      <c r="B138" s="112"/>
      <c r="C138" s="189"/>
      <c r="D138" s="51"/>
      <c r="E138" s="52"/>
      <c r="F138" s="149"/>
      <c r="G138" s="312"/>
      <c r="H138" s="292"/>
    </row>
    <row r="139" spans="1:9" ht="16.5" thickBot="1" x14ac:dyDescent="0.25">
      <c r="A139" s="187" t="s">
        <v>90</v>
      </c>
      <c r="D139" s="360">
        <f>SUM(D2:D138 )-G155</f>
        <v>1437.01</v>
      </c>
      <c r="E139" s="306">
        <f>SUM(E2:E138)-F161</f>
        <v>3.0704282407407417</v>
      </c>
      <c r="F139" s="307">
        <f>AVERAGEIF(H2:H138,"&lt;&gt;e",F2:F138)</f>
        <v>20.161282051282051</v>
      </c>
      <c r="G139" s="315">
        <f>SUM(G2:G138)-H161</f>
        <v>16333</v>
      </c>
      <c r="H139" s="15" t="s">
        <v>90</v>
      </c>
      <c r="I139">
        <f>SUM(J2:J118)</f>
        <v>3319</v>
      </c>
    </row>
    <row r="140" spans="1:9" ht="13.5" thickBot="1" x14ac:dyDescent="0.25">
      <c r="I140" s="33">
        <f>I139/C155</f>
        <v>2.1065659610929512</v>
      </c>
    </row>
    <row r="141" spans="1:9" x14ac:dyDescent="0.2">
      <c r="B141" s="259"/>
      <c r="C141" s="588" t="s">
        <v>247</v>
      </c>
      <c r="D141" s="589"/>
      <c r="E141" s="588" t="s">
        <v>248</v>
      </c>
      <c r="F141" s="589"/>
      <c r="G141" s="588" t="s">
        <v>249</v>
      </c>
      <c r="H141" s="589"/>
    </row>
    <row r="142" spans="1:9" ht="13.5" thickBot="1" x14ac:dyDescent="0.25">
      <c r="B142" s="269"/>
      <c r="C142" s="267" t="s">
        <v>203</v>
      </c>
      <c r="D142" s="268" t="s">
        <v>202</v>
      </c>
      <c r="E142" s="267" t="s">
        <v>203</v>
      </c>
      <c r="F142" s="268" t="s">
        <v>202</v>
      </c>
      <c r="G142" s="267" t="s">
        <v>203</v>
      </c>
      <c r="H142" s="268" t="s">
        <v>202</v>
      </c>
    </row>
    <row r="143" spans="1:9" x14ac:dyDescent="0.2">
      <c r="B143" s="270" t="s">
        <v>178</v>
      </c>
      <c r="C143" s="333">
        <f t="shared" ref="C143:C154" si="0">SUMIFS($D$2:$D$138,$A$2:$A$138,"&gt;="&amp;F164,$A$2:$A$138,"&lt;="&amp;G164)</f>
        <v>0</v>
      </c>
      <c r="D143" s="333">
        <f t="shared" ref="D143:D154" si="1">COUNTIFS($A$2:$A$138,"&gt;="&amp;F164,$A$2:$A$138,"&lt;="&amp;G164)</f>
        <v>0</v>
      </c>
      <c r="E143" s="334">
        <f>SUMIFS($D$2:$D$138,$A$2:$A$138,"&lt;="&amp;G164,H2:H138,"")</f>
        <v>0</v>
      </c>
      <c r="F143" s="333">
        <f>COUNTIFS($A$2:$A$138,"&gt;="&amp;F164,$A$2:$A$138,"&lt;="&amp;G164,H2:H138,"")</f>
        <v>0</v>
      </c>
      <c r="G143" s="335">
        <f>SUMIFS($D$2:$D$138,$A$2:$A$138,"&lt;="&amp;G164,H2:H138,"e")</f>
        <v>0</v>
      </c>
      <c r="H143" s="333">
        <f t="shared" ref="H143:H154" si="2">COUNTIFS($A$2:$A$138,"&gt;="&amp;F164,$A$2:$A$138,"&lt;="&amp;G164,$H$2:$H$138,"e")</f>
        <v>0</v>
      </c>
    </row>
    <row r="144" spans="1:9" x14ac:dyDescent="0.2">
      <c r="B144" s="271" t="s">
        <v>179</v>
      </c>
      <c r="C144" s="333">
        <f t="shared" si="0"/>
        <v>0</v>
      </c>
      <c r="D144" s="333">
        <f t="shared" si="1"/>
        <v>0</v>
      </c>
      <c r="E144" s="335">
        <f t="shared" ref="E144:E154" si="3">SUMIFS($D$2:$D$138,$A$2:$A$138,"&gt;="&amp;F165,$A$2:$A$138,"&lt;="&amp;G165,$H$2:$H$138,"")</f>
        <v>0</v>
      </c>
      <c r="F144" s="333">
        <f t="shared" ref="F144:F154" si="4">COUNTIFS($A$2:$A$138,"&gt;="&amp;F165,$A$2:$A$138,"&lt;="&amp;G165,$H$2:$H$138,"")</f>
        <v>0</v>
      </c>
      <c r="G144" s="333">
        <f t="shared" ref="G144:G154" si="5">SUMIFS($D$2:$D$138,$A$2:$A$138,"&gt;="&amp;F165,$A$2:$A$138,"&lt;="&amp;G165,$H$2:$H$138,"e")</f>
        <v>0</v>
      </c>
      <c r="H144" s="333">
        <f t="shared" si="2"/>
        <v>0</v>
      </c>
    </row>
    <row r="145" spans="2:8" x14ac:dyDescent="0.2">
      <c r="B145" s="271" t="s">
        <v>180</v>
      </c>
      <c r="C145" s="333">
        <f t="shared" si="0"/>
        <v>122.51</v>
      </c>
      <c r="D145" s="333">
        <f t="shared" si="1"/>
        <v>4</v>
      </c>
      <c r="E145" s="335">
        <f t="shared" si="3"/>
        <v>122.51</v>
      </c>
      <c r="F145" s="333">
        <f t="shared" si="4"/>
        <v>4</v>
      </c>
      <c r="G145" s="333">
        <f t="shared" si="5"/>
        <v>0</v>
      </c>
      <c r="H145" s="333">
        <f t="shared" si="2"/>
        <v>0</v>
      </c>
    </row>
    <row r="146" spans="2:8" x14ac:dyDescent="0.2">
      <c r="B146" s="271" t="s">
        <v>181</v>
      </c>
      <c r="C146" s="333">
        <f t="shared" si="0"/>
        <v>451.36</v>
      </c>
      <c r="D146" s="333">
        <f t="shared" si="1"/>
        <v>13</v>
      </c>
      <c r="E146" s="335">
        <f t="shared" si="3"/>
        <v>356.17</v>
      </c>
      <c r="F146" s="333">
        <f t="shared" si="4"/>
        <v>9</v>
      </c>
      <c r="G146" s="333">
        <f t="shared" si="5"/>
        <v>14.68</v>
      </c>
      <c r="H146" s="333">
        <f t="shared" si="2"/>
        <v>2</v>
      </c>
    </row>
    <row r="147" spans="2:8" x14ac:dyDescent="0.2">
      <c r="B147" s="271" t="s">
        <v>182</v>
      </c>
      <c r="C147" s="333">
        <f t="shared" si="0"/>
        <v>455.30000000000007</v>
      </c>
      <c r="D147" s="333">
        <f t="shared" si="1"/>
        <v>15</v>
      </c>
      <c r="E147" s="335">
        <f t="shared" si="3"/>
        <v>360.15</v>
      </c>
      <c r="F147" s="333">
        <f t="shared" si="4"/>
        <v>10</v>
      </c>
      <c r="G147" s="333">
        <f t="shared" si="5"/>
        <v>95.149999999999991</v>
      </c>
      <c r="H147" s="333">
        <f t="shared" si="2"/>
        <v>5</v>
      </c>
    </row>
    <row r="148" spans="2:8" x14ac:dyDescent="0.2">
      <c r="B148" s="271" t="s">
        <v>183</v>
      </c>
      <c r="C148" s="333">
        <f t="shared" si="0"/>
        <v>546.38</v>
      </c>
      <c r="D148" s="333">
        <f>COUNTIFS($A$2:$A$138,"&gt;="&amp;F169,$A$2:$A$138,"&lt;="&amp;G169)</f>
        <v>17</v>
      </c>
      <c r="E148" s="335">
        <f t="shared" si="3"/>
        <v>517.66999999999996</v>
      </c>
      <c r="F148" s="333">
        <f t="shared" si="4"/>
        <v>14</v>
      </c>
      <c r="G148" s="333">
        <f t="shared" si="5"/>
        <v>28.71</v>
      </c>
      <c r="H148" s="333">
        <f t="shared" si="2"/>
        <v>3</v>
      </c>
    </row>
    <row r="149" spans="2:8" x14ac:dyDescent="0.2">
      <c r="B149" s="271" t="s">
        <v>184</v>
      </c>
      <c r="C149" s="333">
        <f t="shared" si="0"/>
        <v>0</v>
      </c>
      <c r="D149" s="333">
        <f t="shared" si="1"/>
        <v>0</v>
      </c>
      <c r="E149" s="335">
        <f t="shared" si="3"/>
        <v>0</v>
      </c>
      <c r="F149" s="333">
        <f t="shared" si="4"/>
        <v>0</v>
      </c>
      <c r="G149" s="333">
        <f t="shared" si="5"/>
        <v>0</v>
      </c>
      <c r="H149" s="333">
        <f t="shared" si="2"/>
        <v>0</v>
      </c>
    </row>
    <row r="150" spans="2:8" x14ac:dyDescent="0.2">
      <c r="B150" s="271" t="s">
        <v>185</v>
      </c>
      <c r="C150" s="333">
        <f t="shared" si="0"/>
        <v>0</v>
      </c>
      <c r="D150" s="333">
        <f t="shared" si="1"/>
        <v>0</v>
      </c>
      <c r="E150" s="335">
        <f t="shared" si="3"/>
        <v>0</v>
      </c>
      <c r="F150" s="333">
        <f t="shared" si="4"/>
        <v>0</v>
      </c>
      <c r="G150" s="333">
        <f t="shared" si="5"/>
        <v>0</v>
      </c>
      <c r="H150" s="333">
        <f t="shared" si="2"/>
        <v>0</v>
      </c>
    </row>
    <row r="151" spans="2:8" x14ac:dyDescent="0.2">
      <c r="B151" s="271" t="s">
        <v>186</v>
      </c>
      <c r="C151" s="333">
        <f t="shared" si="0"/>
        <v>0</v>
      </c>
      <c r="D151" s="333">
        <f t="shared" si="1"/>
        <v>0</v>
      </c>
      <c r="E151" s="335">
        <f t="shared" si="3"/>
        <v>0</v>
      </c>
      <c r="F151" s="333">
        <f t="shared" si="4"/>
        <v>0</v>
      </c>
      <c r="G151" s="333">
        <f t="shared" si="5"/>
        <v>0</v>
      </c>
      <c r="H151" s="333">
        <f t="shared" si="2"/>
        <v>0</v>
      </c>
    </row>
    <row r="152" spans="2:8" x14ac:dyDescent="0.2">
      <c r="B152" s="271" t="s">
        <v>187</v>
      </c>
      <c r="C152" s="333">
        <f t="shared" si="0"/>
        <v>0</v>
      </c>
      <c r="D152" s="333">
        <f t="shared" si="1"/>
        <v>0</v>
      </c>
      <c r="E152" s="335">
        <f t="shared" si="3"/>
        <v>0</v>
      </c>
      <c r="F152" s="333">
        <f t="shared" si="4"/>
        <v>0</v>
      </c>
      <c r="G152" s="333">
        <f t="shared" si="5"/>
        <v>0</v>
      </c>
      <c r="H152" s="333">
        <f t="shared" si="2"/>
        <v>0</v>
      </c>
    </row>
    <row r="153" spans="2:8" x14ac:dyDescent="0.2">
      <c r="B153" s="271" t="s">
        <v>188</v>
      </c>
      <c r="C153" s="333">
        <f t="shared" si="0"/>
        <v>0</v>
      </c>
      <c r="D153" s="333">
        <f t="shared" si="1"/>
        <v>0</v>
      </c>
      <c r="E153" s="335">
        <f t="shared" si="3"/>
        <v>0</v>
      </c>
      <c r="F153" s="333">
        <f t="shared" si="4"/>
        <v>0</v>
      </c>
      <c r="G153" s="333">
        <f t="shared" si="5"/>
        <v>0</v>
      </c>
      <c r="H153" s="333">
        <f t="shared" si="2"/>
        <v>0</v>
      </c>
    </row>
    <row r="154" spans="2:8" x14ac:dyDescent="0.2">
      <c r="B154" s="271" t="s">
        <v>189</v>
      </c>
      <c r="C154" s="333">
        <f t="shared" si="0"/>
        <v>0</v>
      </c>
      <c r="D154" s="333">
        <f t="shared" si="1"/>
        <v>0</v>
      </c>
      <c r="E154" s="335">
        <f t="shared" si="3"/>
        <v>0</v>
      </c>
      <c r="F154" s="333">
        <f t="shared" si="4"/>
        <v>0</v>
      </c>
      <c r="G154" s="333">
        <f t="shared" si="5"/>
        <v>0</v>
      </c>
      <c r="H154" s="333">
        <f t="shared" si="2"/>
        <v>0</v>
      </c>
    </row>
    <row r="155" spans="2:8" ht="13.5" thickBot="1" x14ac:dyDescent="0.25">
      <c r="B155" s="272" t="s">
        <v>90</v>
      </c>
      <c r="C155" s="336">
        <f>SUM(C143:C154)</f>
        <v>1575.5500000000002</v>
      </c>
      <c r="D155" s="337">
        <f>SUM(D143:D154)</f>
        <v>49</v>
      </c>
      <c r="E155" s="336">
        <f t="shared" ref="E155:H155" si="6">SUM(E143:E154)</f>
        <v>1356.5</v>
      </c>
      <c r="F155" s="337">
        <f t="shared" si="6"/>
        <v>37</v>
      </c>
      <c r="G155" s="336">
        <f t="shared" si="6"/>
        <v>138.54</v>
      </c>
      <c r="H155" s="338">
        <f t="shared" si="6"/>
        <v>10</v>
      </c>
    </row>
    <row r="158" spans="2:8" ht="13.5" thickBot="1" x14ac:dyDescent="0.25"/>
    <row r="159" spans="2:8" ht="13.5" thickBot="1" x14ac:dyDescent="0.25">
      <c r="B159" s="136" t="s">
        <v>195</v>
      </c>
      <c r="C159" s="33">
        <f>AVERAGEIFS(F2:F138,G2:G138,"&lt;500",H2:H138,"")</f>
        <v>20.762187500000003</v>
      </c>
      <c r="E159" s="590" t="s">
        <v>246</v>
      </c>
      <c r="F159" s="591"/>
      <c r="G159" s="591"/>
      <c r="H159" s="592"/>
    </row>
    <row r="160" spans="2:8" x14ac:dyDescent="0.2">
      <c r="B160" s="136" t="s">
        <v>196</v>
      </c>
      <c r="C160" s="33">
        <f>AVERAGEIFS(F2:F138,G2:G138,"&gt;500",G2:G138,"&lt;1000",H2:H138,"&lt;&gt;e")</f>
        <v>18.34333333333333</v>
      </c>
      <c r="E160" s="320" t="s">
        <v>143</v>
      </c>
      <c r="F160" s="253" t="s">
        <v>2</v>
      </c>
      <c r="G160" s="253" t="s">
        <v>3</v>
      </c>
      <c r="H160" s="254" t="s">
        <v>4</v>
      </c>
    </row>
    <row r="161" spans="2:8" ht="13.5" thickBot="1" x14ac:dyDescent="0.25">
      <c r="B161" s="136" t="s">
        <v>194</v>
      </c>
      <c r="C161" s="33">
        <f>AVERAGEIFS(F2:F138,G2:G138,"&gt;1000")</f>
        <v>15.120000000000001</v>
      </c>
      <c r="E161" s="321">
        <f>SUMIFS(D2:D138,H2:H138,"e")</f>
        <v>138.53999999999996</v>
      </c>
      <c r="F161" s="256">
        <f>SUMIFS(E2:E138,H2:$H$138,"e")</f>
        <v>0.53858796296296307</v>
      </c>
      <c r="G161" s="257">
        <f>AVERAGEIF(H2:H138,"e",F2:F138)</f>
        <v>11.164999999999999</v>
      </c>
      <c r="H161" s="258">
        <f>SUMIFS(G2:G138,$H2:H$138,"e")</f>
        <v>2007</v>
      </c>
    </row>
    <row r="162" spans="2:8" ht="13.5" thickBot="1" x14ac:dyDescent="0.25">
      <c r="B162" s="136"/>
      <c r="C162" s="33"/>
    </row>
    <row r="163" spans="2:8" ht="15" thickBot="1" x14ac:dyDescent="0.25">
      <c r="B163" s="286" t="s">
        <v>278</v>
      </c>
      <c r="C163" s="287" t="s">
        <v>279</v>
      </c>
      <c r="D163" s="145"/>
      <c r="E163" s="31">
        <v>2024</v>
      </c>
      <c r="F163" t="s">
        <v>292</v>
      </c>
      <c r="G163" s="303" t="s">
        <v>291</v>
      </c>
    </row>
    <row r="164" spans="2:8" x14ac:dyDescent="0.2">
      <c r="B164" s="281" t="s">
        <v>277</v>
      </c>
      <c r="C164" s="282">
        <f>COUNTIFS($D$2:$D$138,"&lt;10")</f>
        <v>7</v>
      </c>
      <c r="D164" s="145"/>
      <c r="E164" t="s">
        <v>178</v>
      </c>
      <c r="F164" s="130">
        <v>45658</v>
      </c>
      <c r="G164" s="130">
        <v>45688</v>
      </c>
    </row>
    <row r="165" spans="2:8" x14ac:dyDescent="0.2">
      <c r="B165" s="283" t="s">
        <v>274</v>
      </c>
      <c r="C165" s="280">
        <f>COUNTIFS($D$2:$D$138,"&gt;=10",$D$2:$D$138,"&lt;=20")</f>
        <v>3</v>
      </c>
      <c r="D165" s="145"/>
      <c r="E165" t="s">
        <v>179</v>
      </c>
      <c r="F165" s="130">
        <v>45689</v>
      </c>
      <c r="G165" s="130">
        <v>45716</v>
      </c>
    </row>
    <row r="166" spans="2:8" x14ac:dyDescent="0.2">
      <c r="B166" s="283" t="s">
        <v>266</v>
      </c>
      <c r="C166" s="280">
        <f>COUNTIFS($D$2:$D$138,"&gt;=20",$D$2:$D$138,"&lt;=30")</f>
        <v>9</v>
      </c>
      <c r="E166" t="s">
        <v>180</v>
      </c>
      <c r="F166" s="130">
        <v>45717</v>
      </c>
      <c r="G166" s="130">
        <v>45747</v>
      </c>
    </row>
    <row r="167" spans="2:8" x14ac:dyDescent="0.2">
      <c r="B167" s="283" t="s">
        <v>268</v>
      </c>
      <c r="C167" s="280">
        <f>COUNTIFS($D$2:$D$138,"&gt;=30",$D$2:$D$138,"&lt;=40")</f>
        <v>16</v>
      </c>
      <c r="E167" t="s">
        <v>181</v>
      </c>
      <c r="F167" s="130">
        <v>45748</v>
      </c>
      <c r="G167" s="130">
        <v>45777</v>
      </c>
    </row>
    <row r="168" spans="2:8" x14ac:dyDescent="0.2">
      <c r="B168" s="283" t="s">
        <v>267</v>
      </c>
      <c r="C168" s="280">
        <f>COUNTIFS($D$2:$D$138,"&gt;=40",$D$2:$D$138,"&lt;=50")</f>
        <v>10</v>
      </c>
      <c r="E168" t="s">
        <v>182</v>
      </c>
      <c r="F168" s="130">
        <v>45778</v>
      </c>
      <c r="G168" s="130">
        <v>45808</v>
      </c>
    </row>
    <row r="169" spans="2:8" x14ac:dyDescent="0.2">
      <c r="B169" s="283" t="s">
        <v>269</v>
      </c>
      <c r="C169" s="280">
        <f>COUNTIFS($D$2:$D$138,"&gt;=50",$D$2:$D$138,"&lt;=60")</f>
        <v>2</v>
      </c>
      <c r="E169" t="s">
        <v>183</v>
      </c>
      <c r="F169" s="130">
        <v>45809</v>
      </c>
      <c r="G169" s="130">
        <v>45838</v>
      </c>
    </row>
    <row r="170" spans="2:8" x14ac:dyDescent="0.2">
      <c r="B170" s="283" t="s">
        <v>270</v>
      </c>
      <c r="C170" s="280">
        <f>COUNTIFS($D$2:$D$138,"&gt;=60",$D$2:$D$138,"&lt;=70")</f>
        <v>2</v>
      </c>
      <c r="E170" t="s">
        <v>184</v>
      </c>
      <c r="F170" s="130">
        <v>45839</v>
      </c>
      <c r="G170" s="130">
        <v>45869</v>
      </c>
    </row>
    <row r="171" spans="2:8" x14ac:dyDescent="0.2">
      <c r="B171" s="283" t="s">
        <v>271</v>
      </c>
      <c r="C171" s="280">
        <f>COUNTIFS($D$2:$D$138,"&gt;=70",$D$2:$D$138,"&lt;=80")</f>
        <v>0</v>
      </c>
      <c r="E171" t="s">
        <v>185</v>
      </c>
      <c r="F171" s="130">
        <v>45870</v>
      </c>
      <c r="G171" s="130">
        <v>45900</v>
      </c>
    </row>
    <row r="172" spans="2:8" x14ac:dyDescent="0.2">
      <c r="B172" s="283" t="s">
        <v>272</v>
      </c>
      <c r="C172" s="280">
        <f>COUNTIFS($D$2:$D$138,"&gt;=80",$D$2:$D$138,"&lt;=90")</f>
        <v>0</v>
      </c>
      <c r="E172" t="s">
        <v>186</v>
      </c>
      <c r="F172" s="130">
        <v>45901</v>
      </c>
      <c r="G172" s="130">
        <v>45930</v>
      </c>
    </row>
    <row r="173" spans="2:8" x14ac:dyDescent="0.2">
      <c r="B173" s="283" t="s">
        <v>273</v>
      </c>
      <c r="C173" s="280">
        <f>COUNTIFS($D$2:$D$138,"&gt;=90",$D$2:$D$138,"&lt;=100")</f>
        <v>0</v>
      </c>
      <c r="E173" t="s">
        <v>187</v>
      </c>
      <c r="F173" s="130">
        <v>45931</v>
      </c>
      <c r="G173" s="130">
        <v>45961</v>
      </c>
    </row>
    <row r="174" spans="2:8" x14ac:dyDescent="0.2">
      <c r="B174" s="283" t="s">
        <v>275</v>
      </c>
      <c r="C174" s="280">
        <f>COUNTIFS($D$2:$D$138,"&gt;=100",$D$2:$D$138,"&lt;=110")</f>
        <v>0</v>
      </c>
      <c r="E174" t="s">
        <v>188</v>
      </c>
      <c r="F174" s="130">
        <v>45962</v>
      </c>
      <c r="G174" s="130">
        <v>45991</v>
      </c>
    </row>
    <row r="175" spans="2:8" ht="13.5" thickBot="1" x14ac:dyDescent="0.25">
      <c r="B175" s="284" t="s">
        <v>276</v>
      </c>
      <c r="C175" s="285">
        <f>COUNTIFS($D$2:$D$138,"&gt;=110",$D$2:$D$138,"&lt;=150")</f>
        <v>0</v>
      </c>
      <c r="E175" t="s">
        <v>189</v>
      </c>
      <c r="F175" s="130">
        <v>45992</v>
      </c>
      <c r="G175" s="130">
        <v>46022</v>
      </c>
    </row>
    <row r="176" spans="2:8" x14ac:dyDescent="0.2">
      <c r="C176" s="31">
        <f>SUM(C164:C175)</f>
        <v>49</v>
      </c>
    </row>
  </sheetData>
  <mergeCells count="4">
    <mergeCell ref="C141:D141"/>
    <mergeCell ref="E141:F141"/>
    <mergeCell ref="G141:H141"/>
    <mergeCell ref="E159:H159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AB8AD-0CD7-4053-A25F-7207B1BEF51F}">
  <dimension ref="A1:Q178"/>
  <sheetViews>
    <sheetView zoomScaleNormal="100" workbookViewId="0">
      <pane ySplit="1" topLeftCell="A32" activePane="bottomLeft" state="frozen"/>
      <selection pane="bottomLeft" activeCell="I37" sqref="I37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23.28515625" bestFit="1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ht="13.5" thickBot="1" x14ac:dyDescent="0.25">
      <c r="A2" s="129">
        <v>45334</v>
      </c>
      <c r="B2" s="112"/>
      <c r="C2" s="188"/>
      <c r="D2" s="60">
        <v>19.18</v>
      </c>
      <c r="E2" s="61">
        <v>4.08912037037037E-2</v>
      </c>
      <c r="F2" s="148">
        <v>19.55</v>
      </c>
      <c r="G2" s="311">
        <v>212</v>
      </c>
      <c r="H2" s="555"/>
      <c r="I2" s="323" t="s">
        <v>365</v>
      </c>
      <c r="J2" s="6">
        <v>399</v>
      </c>
      <c r="K2" s="275"/>
    </row>
    <row r="3" spans="1:15" x14ac:dyDescent="0.2">
      <c r="A3" s="129">
        <v>45335</v>
      </c>
      <c r="B3" s="112"/>
      <c r="C3" s="189"/>
      <c r="D3" s="60">
        <v>27.4</v>
      </c>
      <c r="E3" s="52">
        <v>5.5706018518518523E-2</v>
      </c>
      <c r="F3" s="149">
        <v>20.49</v>
      </c>
      <c r="G3" s="312">
        <v>309</v>
      </c>
      <c r="H3" s="555"/>
      <c r="I3" s="323" t="s">
        <v>365</v>
      </c>
      <c r="J3" s="261">
        <v>399</v>
      </c>
    </row>
    <row r="4" spans="1:15" x14ac:dyDescent="0.2">
      <c r="A4" s="129">
        <v>45337</v>
      </c>
      <c r="B4" s="112"/>
      <c r="C4" s="189"/>
      <c r="D4" s="60">
        <v>19.79</v>
      </c>
      <c r="E4" s="52">
        <v>4.449074074074074E-2</v>
      </c>
      <c r="F4" s="149">
        <v>18.53</v>
      </c>
      <c r="G4" s="312">
        <v>235</v>
      </c>
      <c r="H4" s="555"/>
      <c r="I4" s="260" t="s">
        <v>372</v>
      </c>
      <c r="J4" s="261">
        <v>1240</v>
      </c>
    </row>
    <row r="5" spans="1:15" x14ac:dyDescent="0.2">
      <c r="A5" s="129">
        <v>45341</v>
      </c>
      <c r="B5" s="112"/>
      <c r="C5" s="189"/>
      <c r="D5" s="60">
        <v>24.34</v>
      </c>
      <c r="E5" s="52">
        <v>4.9062500000000002E-2</v>
      </c>
      <c r="F5" s="149">
        <v>20.67</v>
      </c>
      <c r="G5" s="312">
        <v>256</v>
      </c>
      <c r="H5" s="555"/>
      <c r="I5" s="260" t="s">
        <v>373</v>
      </c>
      <c r="J5" s="261">
        <v>400</v>
      </c>
    </row>
    <row r="6" spans="1:15" x14ac:dyDescent="0.2">
      <c r="A6" s="129">
        <v>45342</v>
      </c>
      <c r="B6" s="112"/>
      <c r="C6" s="189"/>
      <c r="D6" s="60">
        <v>25.32</v>
      </c>
      <c r="E6" s="52">
        <v>5.0532407407407408E-2</v>
      </c>
      <c r="F6" s="149">
        <v>20.88</v>
      </c>
      <c r="G6" s="312">
        <v>286</v>
      </c>
      <c r="H6" s="555"/>
      <c r="I6" s="324" t="s">
        <v>374</v>
      </c>
      <c r="J6" s="261">
        <v>850</v>
      </c>
    </row>
    <row r="7" spans="1:15" x14ac:dyDescent="0.2">
      <c r="A7" s="129">
        <v>45345</v>
      </c>
      <c r="B7" s="112"/>
      <c r="C7" s="189"/>
      <c r="D7" s="60">
        <v>13.37</v>
      </c>
      <c r="E7" s="52">
        <v>3.0717592592592591E-2</v>
      </c>
      <c r="F7" s="149">
        <v>18.14</v>
      </c>
      <c r="G7" s="312">
        <v>164</v>
      </c>
      <c r="H7" s="555"/>
      <c r="I7" s="325"/>
      <c r="J7" s="261"/>
    </row>
    <row r="8" spans="1:15" x14ac:dyDescent="0.2">
      <c r="A8" s="129">
        <v>45348</v>
      </c>
      <c r="B8" s="112"/>
      <c r="C8" s="189"/>
      <c r="D8" s="60">
        <v>24.72</v>
      </c>
      <c r="E8" s="52">
        <v>4.9629629629629635E-2</v>
      </c>
      <c r="F8" s="149">
        <v>20.76</v>
      </c>
      <c r="G8" s="312">
        <v>245</v>
      </c>
      <c r="H8" s="555"/>
      <c r="I8" s="260"/>
      <c r="J8" s="261"/>
    </row>
    <row r="9" spans="1:15" x14ac:dyDescent="0.2">
      <c r="A9" s="129">
        <v>45349</v>
      </c>
      <c r="B9" s="112"/>
      <c r="C9" s="189"/>
      <c r="D9" s="60">
        <v>28</v>
      </c>
      <c r="E9" s="52">
        <v>5.8379629629629635E-2</v>
      </c>
      <c r="F9" s="149">
        <v>19.98</v>
      </c>
      <c r="G9" s="312">
        <v>327</v>
      </c>
      <c r="H9" s="555"/>
      <c r="I9" s="260"/>
      <c r="J9" s="261"/>
      <c r="K9" s="12"/>
    </row>
    <row r="10" spans="1:15" x14ac:dyDescent="0.2">
      <c r="A10" s="130">
        <v>45355</v>
      </c>
      <c r="B10" s="112"/>
      <c r="C10" s="189"/>
      <c r="D10" s="51">
        <v>25.04</v>
      </c>
      <c r="E10" s="52">
        <v>5.1215277777777783E-2</v>
      </c>
      <c r="F10" s="149">
        <v>20.37</v>
      </c>
      <c r="G10" s="312">
        <v>270</v>
      </c>
      <c r="H10" s="555"/>
      <c r="I10" s="260"/>
      <c r="J10" s="261"/>
      <c r="L10" s="186"/>
      <c r="M10" s="13"/>
      <c r="N10" s="186"/>
      <c r="O10" s="186"/>
    </row>
    <row r="11" spans="1:15" x14ac:dyDescent="0.2">
      <c r="A11" s="130">
        <v>45358</v>
      </c>
      <c r="B11" s="112"/>
      <c r="C11" s="189"/>
      <c r="D11" s="51">
        <v>24.34</v>
      </c>
      <c r="E11" s="52">
        <v>4.8611111111111112E-2</v>
      </c>
      <c r="F11" s="149">
        <v>20.86</v>
      </c>
      <c r="G11" s="312">
        <v>256</v>
      </c>
      <c r="H11" s="555"/>
      <c r="I11" s="260"/>
      <c r="J11" s="261"/>
      <c r="L11" s="194"/>
    </row>
    <row r="12" spans="1:15" x14ac:dyDescent="0.2">
      <c r="A12" s="130">
        <v>45362</v>
      </c>
      <c r="B12" s="112"/>
      <c r="C12" s="189"/>
      <c r="D12" s="51">
        <v>31.91</v>
      </c>
      <c r="E12" s="52">
        <v>6.5706018518518525E-2</v>
      </c>
      <c r="F12" s="149">
        <v>20.23</v>
      </c>
      <c r="G12" s="312">
        <v>440</v>
      </c>
      <c r="H12" s="555"/>
      <c r="I12" s="260"/>
      <c r="J12" s="261"/>
    </row>
    <row r="13" spans="1:15" x14ac:dyDescent="0.2">
      <c r="A13" s="130">
        <v>45364</v>
      </c>
      <c r="B13" s="112"/>
      <c r="C13" s="189"/>
      <c r="D13" s="51">
        <v>18.98</v>
      </c>
      <c r="E13" s="52">
        <v>3.8368055555555551E-2</v>
      </c>
      <c r="F13" s="149">
        <v>20.61</v>
      </c>
      <c r="G13" s="312">
        <v>220</v>
      </c>
      <c r="H13" s="555"/>
      <c r="I13" s="260"/>
      <c r="J13" s="261"/>
      <c r="N13" s="36"/>
      <c r="O13" s="36"/>
    </row>
    <row r="14" spans="1:15" x14ac:dyDescent="0.2">
      <c r="A14" s="130">
        <v>45365</v>
      </c>
      <c r="B14" s="112"/>
      <c r="C14" s="189"/>
      <c r="D14" s="51">
        <v>33.01</v>
      </c>
      <c r="E14" s="52">
        <v>6.2465277777777772E-2</v>
      </c>
      <c r="F14" s="149">
        <v>22.02</v>
      </c>
      <c r="G14" s="312">
        <v>358</v>
      </c>
      <c r="H14" s="555"/>
      <c r="I14" s="326"/>
      <c r="J14" s="261"/>
      <c r="N14" s="184"/>
      <c r="O14" s="36"/>
    </row>
    <row r="15" spans="1:15" x14ac:dyDescent="0.2">
      <c r="A15" s="130">
        <v>45366</v>
      </c>
      <c r="B15" s="112"/>
      <c r="C15" s="189"/>
      <c r="D15" s="51">
        <v>9.14</v>
      </c>
      <c r="E15" s="52">
        <v>2.0937499999999998E-2</v>
      </c>
      <c r="F15" s="149">
        <v>18.2</v>
      </c>
      <c r="G15" s="312">
        <v>145</v>
      </c>
      <c r="H15" s="555"/>
      <c r="I15" s="260"/>
      <c r="J15" s="261"/>
      <c r="L15" s="186"/>
      <c r="N15" s="184"/>
      <c r="O15" s="36"/>
    </row>
    <row r="16" spans="1:15" x14ac:dyDescent="0.2">
      <c r="A16" s="130">
        <v>45368</v>
      </c>
      <c r="B16" s="112"/>
      <c r="C16" s="189"/>
      <c r="D16" s="51">
        <v>16.7</v>
      </c>
      <c r="E16" s="52">
        <v>4.4652777777777784E-2</v>
      </c>
      <c r="F16" s="149">
        <v>15.58</v>
      </c>
      <c r="G16" s="312">
        <v>352</v>
      </c>
      <c r="H16" s="555"/>
      <c r="I16" s="326"/>
      <c r="J16" s="261"/>
      <c r="N16" s="184"/>
      <c r="O16" s="36"/>
    </row>
    <row r="17" spans="1:15" x14ac:dyDescent="0.2">
      <c r="A17" s="130">
        <v>45370</v>
      </c>
      <c r="B17" s="112"/>
      <c r="C17" s="189"/>
      <c r="D17" s="51">
        <v>31.25</v>
      </c>
      <c r="E17" s="52">
        <v>6.8877314814814808E-2</v>
      </c>
      <c r="F17" s="149">
        <v>18.899999999999999</v>
      </c>
      <c r="G17" s="312">
        <v>405</v>
      </c>
      <c r="H17" s="555"/>
      <c r="I17" s="260"/>
      <c r="J17" s="261"/>
      <c r="N17" s="184"/>
      <c r="O17" s="36"/>
    </row>
    <row r="18" spans="1:15" x14ac:dyDescent="0.2">
      <c r="A18" s="130">
        <v>45384</v>
      </c>
      <c r="B18" s="112"/>
      <c r="C18" s="189"/>
      <c r="D18" s="51">
        <v>21.83</v>
      </c>
      <c r="E18" s="52">
        <v>4.5821759259259263E-2</v>
      </c>
      <c r="F18" s="149">
        <v>19.850000000000001</v>
      </c>
      <c r="G18" s="312">
        <v>282</v>
      </c>
      <c r="H18" s="555"/>
      <c r="I18" s="326"/>
      <c r="J18" s="261"/>
      <c r="N18" s="185"/>
      <c r="O18" s="36"/>
    </row>
    <row r="19" spans="1:15" x14ac:dyDescent="0.2">
      <c r="A19" s="130">
        <v>45385</v>
      </c>
      <c r="B19" s="112"/>
      <c r="C19" s="189"/>
      <c r="D19" s="51">
        <v>25.09</v>
      </c>
      <c r="E19" s="52">
        <v>4.9328703703703701E-2</v>
      </c>
      <c r="F19" s="149">
        <v>21.19</v>
      </c>
      <c r="G19" s="312">
        <v>253</v>
      </c>
      <c r="H19" s="555"/>
      <c r="I19" s="260"/>
      <c r="J19" s="261"/>
      <c r="N19" s="36"/>
      <c r="O19" s="36"/>
    </row>
    <row r="20" spans="1:15" x14ac:dyDescent="0.2">
      <c r="A20" s="130">
        <v>45387</v>
      </c>
      <c r="B20" s="112"/>
      <c r="C20" s="189"/>
      <c r="D20" s="51">
        <v>4.72</v>
      </c>
      <c r="E20" s="52">
        <v>2.326388888888889E-2</v>
      </c>
      <c r="F20" s="149">
        <v>8.4499999999999993</v>
      </c>
      <c r="G20" s="312">
        <v>88</v>
      </c>
      <c r="H20" s="555" t="s">
        <v>244</v>
      </c>
      <c r="I20" s="260"/>
      <c r="J20" s="261"/>
      <c r="N20" s="36"/>
      <c r="O20" s="36"/>
    </row>
    <row r="21" spans="1:15" ht="15" x14ac:dyDescent="0.2">
      <c r="A21" s="130">
        <v>45389</v>
      </c>
      <c r="B21" s="112"/>
      <c r="C21" s="189"/>
      <c r="D21" s="51">
        <v>17.100000000000001</v>
      </c>
      <c r="E21" s="52">
        <v>7.5891203703703711E-2</v>
      </c>
      <c r="F21" s="149">
        <v>9.39</v>
      </c>
      <c r="G21" s="312">
        <v>275</v>
      </c>
      <c r="H21" s="556" t="s">
        <v>244</v>
      </c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45393</v>
      </c>
      <c r="B22" s="112"/>
      <c r="C22" s="189"/>
      <c r="D22" s="51">
        <v>51.47</v>
      </c>
      <c r="E22" s="52">
        <v>0.1038425925925926</v>
      </c>
      <c r="F22" s="149">
        <v>20.63</v>
      </c>
      <c r="G22" s="312">
        <v>625</v>
      </c>
      <c r="H22" s="555"/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45394</v>
      </c>
      <c r="B23" s="112"/>
      <c r="C23" s="189"/>
      <c r="D23" s="51">
        <v>15.35</v>
      </c>
      <c r="E23" s="52">
        <v>3.4652777777777775E-2</v>
      </c>
      <c r="F23" s="149">
        <v>18.46</v>
      </c>
      <c r="G23" s="312">
        <v>243</v>
      </c>
      <c r="H23" s="555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45394</v>
      </c>
      <c r="B24" s="112"/>
      <c r="C24" s="189"/>
      <c r="D24" s="51">
        <v>13.15</v>
      </c>
      <c r="E24" s="52">
        <v>5.0358796296296297E-2</v>
      </c>
      <c r="F24" s="149">
        <v>10.88</v>
      </c>
      <c r="G24" s="312">
        <v>162</v>
      </c>
      <c r="H24" s="555" t="s">
        <v>244</v>
      </c>
      <c r="I24" s="330"/>
      <c r="J24" s="329"/>
      <c r="K24" s="97"/>
      <c r="O24" s="97"/>
    </row>
    <row r="25" spans="1:15" x14ac:dyDescent="0.2">
      <c r="A25" s="130">
        <v>45396</v>
      </c>
      <c r="B25" s="112"/>
      <c r="C25" s="189"/>
      <c r="D25" s="51">
        <v>26.18</v>
      </c>
      <c r="E25" s="52">
        <v>9.6134259259259267E-2</v>
      </c>
      <c r="F25" s="149">
        <v>11.35</v>
      </c>
      <c r="G25" s="312">
        <v>229</v>
      </c>
      <c r="H25" s="555" t="s">
        <v>244</v>
      </c>
      <c r="I25" s="325"/>
      <c r="J25" s="329" t="s">
        <v>220</v>
      </c>
      <c r="K25" s="97"/>
      <c r="O25" s="97"/>
    </row>
    <row r="26" spans="1:15" x14ac:dyDescent="0.2">
      <c r="A26" s="130">
        <v>45397</v>
      </c>
      <c r="B26" s="112"/>
      <c r="C26" s="189"/>
      <c r="D26" s="51">
        <v>20.51</v>
      </c>
      <c r="E26" s="52">
        <v>4.2939814814814813E-2</v>
      </c>
      <c r="F26" s="149">
        <v>19.899999999999999</v>
      </c>
      <c r="G26" s="312">
        <v>246</v>
      </c>
      <c r="H26" s="555"/>
      <c r="I26" s="260"/>
      <c r="J26" s="329"/>
      <c r="K26" s="97"/>
      <c r="L26" s="97"/>
      <c r="N26" s="97"/>
      <c r="O26" s="97"/>
    </row>
    <row r="27" spans="1:15" x14ac:dyDescent="0.2">
      <c r="A27" s="130">
        <v>45399</v>
      </c>
      <c r="B27" s="112"/>
      <c r="C27" s="189"/>
      <c r="D27" s="51">
        <v>25.4</v>
      </c>
      <c r="E27" s="52">
        <v>5.0115740740740738E-2</v>
      </c>
      <c r="F27" s="149">
        <v>21.12</v>
      </c>
      <c r="G27" s="312">
        <v>289</v>
      </c>
      <c r="H27" s="555"/>
      <c r="I27" s="331"/>
      <c r="J27" s="329"/>
      <c r="K27" s="97"/>
      <c r="L27" s="97"/>
      <c r="N27" s="97"/>
      <c r="O27" s="97"/>
    </row>
    <row r="28" spans="1:15" x14ac:dyDescent="0.2">
      <c r="A28" s="130">
        <v>45410</v>
      </c>
      <c r="B28" s="112"/>
      <c r="C28" s="189"/>
      <c r="D28" s="51">
        <v>13.19</v>
      </c>
      <c r="E28" s="52" t="s">
        <v>316</v>
      </c>
      <c r="F28" s="149">
        <v>10.36</v>
      </c>
      <c r="G28" s="312">
        <v>216</v>
      </c>
      <c r="H28" s="555" t="s">
        <v>244</v>
      </c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45413</v>
      </c>
      <c r="B29" s="112"/>
      <c r="C29" s="189"/>
      <c r="D29" s="51">
        <v>33.880000000000003</v>
      </c>
      <c r="E29" s="52">
        <v>0.11866898148148149</v>
      </c>
      <c r="F29" s="149">
        <v>11.89</v>
      </c>
      <c r="G29" s="312">
        <v>328</v>
      </c>
      <c r="H29" s="555" t="s">
        <v>244</v>
      </c>
      <c r="I29" s="332"/>
      <c r="J29" s="264"/>
      <c r="K29" s="97"/>
      <c r="O29" s="97"/>
    </row>
    <row r="30" spans="1:15" x14ac:dyDescent="0.2">
      <c r="A30" s="130">
        <v>45414</v>
      </c>
      <c r="B30" s="112"/>
      <c r="C30" s="189"/>
      <c r="D30" s="51">
        <v>24.3</v>
      </c>
      <c r="E30" s="52">
        <v>4.5138888888888888E-2</v>
      </c>
      <c r="F30" s="149">
        <v>22.43</v>
      </c>
      <c r="G30" s="312">
        <v>243</v>
      </c>
      <c r="H30" s="292"/>
      <c r="I30" s="97"/>
      <c r="K30" s="97"/>
      <c r="O30" s="97"/>
    </row>
    <row r="31" spans="1:15" x14ac:dyDescent="0.2">
      <c r="A31" s="130">
        <v>45415</v>
      </c>
      <c r="B31" s="112"/>
      <c r="C31" s="189"/>
      <c r="D31" s="51">
        <v>17.059999999999999</v>
      </c>
      <c r="E31" s="52">
        <v>3.3981481481481481E-2</v>
      </c>
      <c r="F31" s="149">
        <v>20.92</v>
      </c>
      <c r="G31" s="312">
        <v>184</v>
      </c>
      <c r="H31" s="292"/>
      <c r="I31" s="97"/>
      <c r="J31" s="97"/>
      <c r="K31" s="97"/>
      <c r="L31" s="97"/>
      <c r="N31" s="97"/>
      <c r="O31" s="97"/>
    </row>
    <row r="32" spans="1:15" x14ac:dyDescent="0.2">
      <c r="A32" s="130">
        <v>45418</v>
      </c>
      <c r="B32" s="112"/>
      <c r="C32" s="189"/>
      <c r="D32" s="51">
        <v>19.97</v>
      </c>
      <c r="E32" s="52">
        <v>4.0706018518518523E-2</v>
      </c>
      <c r="F32" s="149">
        <v>20.440000000000001</v>
      </c>
      <c r="G32" s="312">
        <v>246</v>
      </c>
      <c r="H32" s="198"/>
      <c r="N32" s="36"/>
      <c r="O32" s="184"/>
    </row>
    <row r="33" spans="1:17" x14ac:dyDescent="0.2">
      <c r="A33" s="130">
        <v>45435</v>
      </c>
      <c r="B33" s="112"/>
      <c r="C33" s="189"/>
      <c r="D33" s="51">
        <v>28.14</v>
      </c>
      <c r="E33" s="52">
        <v>5.5393518518518516E-2</v>
      </c>
      <c r="F33" s="149">
        <v>21.17</v>
      </c>
      <c r="G33" s="312">
        <v>340</v>
      </c>
      <c r="H33" s="292"/>
      <c r="N33" s="36"/>
      <c r="O33" s="185"/>
    </row>
    <row r="34" spans="1:17" ht="12.75" customHeight="1" x14ac:dyDescent="0.2">
      <c r="A34" s="130">
        <v>45441</v>
      </c>
      <c r="B34" s="112"/>
      <c r="C34" s="189"/>
      <c r="D34" s="51">
        <v>26.99</v>
      </c>
      <c r="E34" s="52">
        <v>5.1064814814814813E-2</v>
      </c>
      <c r="F34" s="149">
        <v>22.07</v>
      </c>
      <c r="G34" s="312">
        <v>247</v>
      </c>
      <c r="H34" s="292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45441</v>
      </c>
      <c r="B35" s="112"/>
      <c r="C35" s="189"/>
      <c r="D35" s="51">
        <v>9.08</v>
      </c>
      <c r="E35" s="52">
        <v>3.7361111111111109E-2</v>
      </c>
      <c r="F35" s="149">
        <v>10.130000000000001</v>
      </c>
      <c r="G35" s="312">
        <v>141</v>
      </c>
      <c r="H35" s="198" t="s">
        <v>244</v>
      </c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45446</v>
      </c>
      <c r="B36" s="112"/>
      <c r="C36" s="189"/>
      <c r="D36" s="51">
        <v>30.3</v>
      </c>
      <c r="E36" s="52">
        <v>5.8726851851851856E-2</v>
      </c>
      <c r="F36" s="149">
        <v>21.49</v>
      </c>
      <c r="G36" s="312">
        <v>298</v>
      </c>
      <c r="H36" s="292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45449</v>
      </c>
      <c r="B37" s="112"/>
      <c r="C37" s="189"/>
      <c r="D37" s="51">
        <v>25.54</v>
      </c>
      <c r="E37" s="52">
        <v>9.6435185185185179E-2</v>
      </c>
      <c r="F37" s="149">
        <v>11.03</v>
      </c>
      <c r="G37" s="312">
        <v>80</v>
      </c>
      <c r="H37" s="198" t="s">
        <v>244</v>
      </c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45450</v>
      </c>
      <c r="B38" s="112"/>
      <c r="C38" s="189"/>
      <c r="D38" s="51">
        <v>35.479999999999997</v>
      </c>
      <c r="E38" s="52">
        <v>0.1270023148148148</v>
      </c>
      <c r="F38" s="149">
        <v>11.64</v>
      </c>
      <c r="G38" s="312">
        <v>218</v>
      </c>
      <c r="H38" s="198" t="s">
        <v>244</v>
      </c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30">
        <v>45451</v>
      </c>
      <c r="B39" s="112"/>
      <c r="C39" s="189"/>
      <c r="D39" s="51">
        <v>45.44</v>
      </c>
      <c r="E39" s="52">
        <v>0.16665509259259259</v>
      </c>
      <c r="F39" s="149">
        <v>11.36</v>
      </c>
      <c r="G39" s="312">
        <v>165</v>
      </c>
      <c r="H39" s="198" t="s">
        <v>244</v>
      </c>
      <c r="I39" s="97"/>
      <c r="J39" s="97"/>
    </row>
    <row r="40" spans="1:17" ht="14.25" x14ac:dyDescent="0.2">
      <c r="A40" s="131">
        <v>45458</v>
      </c>
      <c r="B40" s="67" t="s">
        <v>366</v>
      </c>
      <c r="C40" s="347" t="s">
        <v>367</v>
      </c>
      <c r="D40" s="67">
        <v>51.93</v>
      </c>
      <c r="E40" s="68">
        <v>0.18028935185185183</v>
      </c>
      <c r="F40" s="150">
        <v>12.04</v>
      </c>
      <c r="G40" s="69">
        <v>1154</v>
      </c>
      <c r="H40" s="131"/>
      <c r="I40" s="97"/>
      <c r="J40" s="97"/>
    </row>
    <row r="41" spans="1:17" x14ac:dyDescent="0.2">
      <c r="A41" s="130">
        <v>45460</v>
      </c>
      <c r="B41" s="112"/>
      <c r="C41" s="189"/>
      <c r="D41" s="51">
        <v>26.96</v>
      </c>
      <c r="E41" s="52">
        <v>4.8553240740740744E-2</v>
      </c>
      <c r="F41" s="149">
        <v>23.14</v>
      </c>
      <c r="G41" s="312">
        <v>247</v>
      </c>
      <c r="H41" s="198"/>
      <c r="I41" s="97"/>
      <c r="J41" s="97"/>
    </row>
    <row r="42" spans="1:17" x14ac:dyDescent="0.2">
      <c r="A42" s="130">
        <v>45462</v>
      </c>
      <c r="B42" s="112"/>
      <c r="C42" s="189"/>
      <c r="D42" s="51">
        <v>26.96</v>
      </c>
      <c r="E42" s="52">
        <v>4.8136574074074075E-2</v>
      </c>
      <c r="F42" s="149">
        <v>23.34</v>
      </c>
      <c r="G42" s="312">
        <v>238</v>
      </c>
      <c r="H42" s="198"/>
      <c r="I42" s="97"/>
      <c r="J42" s="97"/>
    </row>
    <row r="43" spans="1:17" x14ac:dyDescent="0.2">
      <c r="A43" s="130">
        <v>45463</v>
      </c>
      <c r="B43" s="112"/>
      <c r="C43" s="189"/>
      <c r="D43" s="51">
        <v>20.39</v>
      </c>
      <c r="E43" s="52">
        <v>4.0613425925925928E-2</v>
      </c>
      <c r="F43" s="149">
        <v>20.91</v>
      </c>
      <c r="G43" s="312">
        <v>236</v>
      </c>
      <c r="H43" s="198"/>
      <c r="I43" s="97"/>
      <c r="J43" s="97"/>
    </row>
    <row r="44" spans="1:17" x14ac:dyDescent="0.2">
      <c r="A44" s="130">
        <v>45465</v>
      </c>
      <c r="B44" s="112"/>
      <c r="C44" s="189"/>
      <c r="D44" s="51">
        <v>74.39</v>
      </c>
      <c r="E44" s="52">
        <v>0.16268518518518518</v>
      </c>
      <c r="F44" s="149">
        <v>19.05</v>
      </c>
      <c r="G44" s="312">
        <v>943</v>
      </c>
      <c r="H44" s="198"/>
      <c r="I44" s="97"/>
      <c r="J44" s="97"/>
    </row>
    <row r="45" spans="1:17" x14ac:dyDescent="0.2">
      <c r="A45" s="130">
        <v>45466</v>
      </c>
      <c r="B45" s="112"/>
      <c r="C45" s="189"/>
      <c r="D45" s="51">
        <v>35.729999999999997</v>
      </c>
      <c r="E45" s="52">
        <v>8.2152777777777783E-2</v>
      </c>
      <c r="F45" s="149">
        <v>18.12</v>
      </c>
      <c r="G45" s="312">
        <v>789</v>
      </c>
      <c r="H45" s="198"/>
      <c r="I45" s="97"/>
      <c r="J45" s="97"/>
    </row>
    <row r="46" spans="1:17" x14ac:dyDescent="0.2">
      <c r="A46" s="130">
        <v>45467</v>
      </c>
      <c r="B46" s="112"/>
      <c r="C46" s="189"/>
      <c r="D46" s="51">
        <v>41.34</v>
      </c>
      <c r="E46" s="52">
        <v>7.6145833333333343E-2</v>
      </c>
      <c r="F46" s="149">
        <v>22.37</v>
      </c>
      <c r="G46" s="312">
        <v>483</v>
      </c>
      <c r="H46" s="198"/>
      <c r="I46" s="97"/>
      <c r="J46" s="97"/>
    </row>
    <row r="47" spans="1:17" x14ac:dyDescent="0.2">
      <c r="A47" s="130">
        <v>45469</v>
      </c>
      <c r="B47" s="112"/>
      <c r="C47" s="189"/>
      <c r="D47" s="51">
        <v>27.97</v>
      </c>
      <c r="E47" s="52">
        <v>5.3379629629629631E-2</v>
      </c>
      <c r="F47" s="149">
        <v>21.83</v>
      </c>
      <c r="G47" s="312">
        <v>278</v>
      </c>
      <c r="H47" s="198"/>
      <c r="I47" s="97"/>
      <c r="J47" s="97"/>
    </row>
    <row r="48" spans="1:17" x14ac:dyDescent="0.2">
      <c r="A48" s="130">
        <v>45470</v>
      </c>
      <c r="B48" s="112"/>
      <c r="C48" s="189"/>
      <c r="D48" s="51">
        <v>18.989999999999998</v>
      </c>
      <c r="E48" s="52">
        <v>3.5115740740740746E-2</v>
      </c>
      <c r="F48" s="149">
        <v>22.55</v>
      </c>
      <c r="G48" s="312">
        <v>131</v>
      </c>
      <c r="H48" s="198"/>
      <c r="I48" s="97"/>
      <c r="J48" s="97"/>
    </row>
    <row r="49" spans="1:14" ht="15" x14ac:dyDescent="0.2">
      <c r="A49" s="130">
        <v>45471</v>
      </c>
      <c r="B49" s="112"/>
      <c r="C49" s="189"/>
      <c r="D49" s="51">
        <v>17.16</v>
      </c>
      <c r="E49" s="52">
        <v>3.892361111111111E-2</v>
      </c>
      <c r="F49" s="149">
        <v>18.36</v>
      </c>
      <c r="G49" s="312">
        <v>222</v>
      </c>
      <c r="H49" s="198"/>
      <c r="I49" s="96"/>
      <c r="J49" s="97"/>
    </row>
    <row r="50" spans="1:14" x14ac:dyDescent="0.2">
      <c r="A50" s="130">
        <v>45475</v>
      </c>
      <c r="B50" s="112"/>
      <c r="C50" s="189"/>
      <c r="D50" s="51">
        <v>51.76</v>
      </c>
      <c r="E50" s="52">
        <v>0.11756944444444445</v>
      </c>
      <c r="F50" s="149">
        <v>18.34</v>
      </c>
      <c r="G50" s="312">
        <v>631</v>
      </c>
      <c r="H50" s="198"/>
      <c r="I50" s="97"/>
      <c r="J50" s="97"/>
    </row>
    <row r="51" spans="1:14" x14ac:dyDescent="0.2">
      <c r="A51" s="130">
        <v>45477</v>
      </c>
      <c r="B51" s="112"/>
      <c r="C51" s="189"/>
      <c r="D51" s="51">
        <v>27.25</v>
      </c>
      <c r="E51" s="52">
        <v>5.3437499999999999E-2</v>
      </c>
      <c r="F51" s="149">
        <v>21.83</v>
      </c>
      <c r="G51" s="312">
        <v>278</v>
      </c>
      <c r="H51" s="198"/>
      <c r="I51" s="97"/>
      <c r="J51" s="97"/>
    </row>
    <row r="52" spans="1:14" x14ac:dyDescent="0.2">
      <c r="A52" s="130">
        <v>45488</v>
      </c>
      <c r="B52" s="112"/>
      <c r="C52" s="189"/>
      <c r="D52" s="51">
        <v>20.16</v>
      </c>
      <c r="E52" s="52">
        <v>4.2650462962962959E-2</v>
      </c>
      <c r="F52" s="149">
        <v>19.7</v>
      </c>
      <c r="G52" s="312">
        <v>230</v>
      </c>
      <c r="H52" s="198"/>
      <c r="I52" s="97"/>
      <c r="J52" s="97"/>
    </row>
    <row r="53" spans="1:14" x14ac:dyDescent="0.2">
      <c r="A53" s="130">
        <v>45489</v>
      </c>
      <c r="B53" s="112"/>
      <c r="C53" s="189"/>
      <c r="D53" s="51">
        <v>16.850000000000001</v>
      </c>
      <c r="E53" s="52">
        <v>3.5335648148148151E-2</v>
      </c>
      <c r="F53" s="149">
        <v>19.87</v>
      </c>
      <c r="G53" s="312">
        <v>187</v>
      </c>
      <c r="H53" s="198"/>
      <c r="I53" s="97"/>
      <c r="J53" s="98"/>
    </row>
    <row r="54" spans="1:14" ht="12.75" customHeight="1" x14ac:dyDescent="0.2">
      <c r="A54" s="130">
        <v>45490</v>
      </c>
      <c r="B54" s="112"/>
      <c r="C54" s="189"/>
      <c r="D54" s="51">
        <v>74.11</v>
      </c>
      <c r="E54" s="52">
        <v>0.16193287037037038</v>
      </c>
      <c r="F54" s="149">
        <v>19.07</v>
      </c>
      <c r="G54" s="312">
        <v>926</v>
      </c>
      <c r="H54" s="198"/>
      <c r="I54" s="97"/>
      <c r="J54" s="97"/>
      <c r="N54" s="13"/>
    </row>
    <row r="55" spans="1:14" ht="15" x14ac:dyDescent="0.2">
      <c r="A55" s="339">
        <v>45492</v>
      </c>
      <c r="B55" s="593" t="s">
        <v>370</v>
      </c>
      <c r="C55" s="340"/>
      <c r="D55" s="340">
        <v>37.380000000000003</v>
      </c>
      <c r="E55" s="341">
        <v>0.16412037037037039</v>
      </c>
      <c r="F55" s="343">
        <v>9.49</v>
      </c>
      <c r="G55" s="340">
        <v>503</v>
      </c>
      <c r="H55" s="557" t="s">
        <v>244</v>
      </c>
      <c r="I55" s="96"/>
      <c r="J55" s="249"/>
    </row>
    <row r="56" spans="1:14" ht="12.75" customHeight="1" x14ac:dyDescent="0.2">
      <c r="A56" s="339">
        <v>45493</v>
      </c>
      <c r="B56" s="594"/>
      <c r="C56" s="340"/>
      <c r="D56" s="340">
        <v>37.81</v>
      </c>
      <c r="E56" s="341">
        <v>0.15171296296296297</v>
      </c>
      <c r="F56" s="343">
        <v>10.38</v>
      </c>
      <c r="G56" s="340">
        <v>310</v>
      </c>
      <c r="H56" s="557" t="s">
        <v>244</v>
      </c>
      <c r="I56" s="97"/>
    </row>
    <row r="57" spans="1:14" x14ac:dyDescent="0.2">
      <c r="A57" s="130">
        <v>45494</v>
      </c>
      <c r="B57" s="112"/>
      <c r="C57" s="189"/>
      <c r="D57" s="51">
        <v>5.72</v>
      </c>
      <c r="E57" s="52">
        <v>2.1076388888888891E-2</v>
      </c>
      <c r="F57" s="149">
        <v>11.31</v>
      </c>
      <c r="G57" s="312">
        <v>38</v>
      </c>
      <c r="H57" s="198" t="s">
        <v>244</v>
      </c>
      <c r="I57" s="97"/>
    </row>
    <row r="58" spans="1:14" x14ac:dyDescent="0.2">
      <c r="A58" s="130">
        <v>45495</v>
      </c>
      <c r="B58" s="112"/>
      <c r="C58" s="189"/>
      <c r="D58" s="51">
        <v>22.56</v>
      </c>
      <c r="E58" s="52">
        <v>7.1180555555555566E-2</v>
      </c>
      <c r="F58" s="149">
        <v>13.21</v>
      </c>
      <c r="G58" s="312">
        <v>183</v>
      </c>
      <c r="H58" s="198" t="s">
        <v>244</v>
      </c>
      <c r="I58" s="100"/>
    </row>
    <row r="59" spans="1:14" x14ac:dyDescent="0.2">
      <c r="A59" s="130">
        <v>45496</v>
      </c>
      <c r="B59" s="112"/>
      <c r="C59" s="189"/>
      <c r="D59" s="51">
        <v>32.5</v>
      </c>
      <c r="E59" s="52">
        <v>0.10001157407407407</v>
      </c>
      <c r="F59" s="149">
        <v>13.35</v>
      </c>
      <c r="G59" s="312">
        <v>292</v>
      </c>
      <c r="H59" s="198" t="s">
        <v>244</v>
      </c>
      <c r="I59" s="97"/>
      <c r="J59" s="97"/>
    </row>
    <row r="60" spans="1:14" ht="12.75" customHeight="1" x14ac:dyDescent="0.2">
      <c r="A60" s="130">
        <v>45497</v>
      </c>
      <c r="B60" s="112"/>
      <c r="C60" s="189"/>
      <c r="D60" s="51">
        <v>44.52</v>
      </c>
      <c r="E60" s="52">
        <v>0.13405092592592593</v>
      </c>
      <c r="F60" s="149">
        <v>13.83</v>
      </c>
      <c r="G60" s="312">
        <v>448</v>
      </c>
      <c r="H60" s="198" t="s">
        <v>244</v>
      </c>
      <c r="I60" s="97"/>
      <c r="J60" s="134"/>
    </row>
    <row r="61" spans="1:14" x14ac:dyDescent="0.2">
      <c r="A61" s="130">
        <v>45498</v>
      </c>
      <c r="B61" s="112"/>
      <c r="C61" s="189"/>
      <c r="D61" s="51">
        <v>23.74</v>
      </c>
      <c r="E61" s="52">
        <v>7.1342592592592582E-2</v>
      </c>
      <c r="F61" s="149">
        <v>13.86</v>
      </c>
      <c r="G61" s="312">
        <v>202</v>
      </c>
      <c r="H61" s="198" t="s">
        <v>244</v>
      </c>
      <c r="I61" s="97"/>
      <c r="J61" s="97"/>
    </row>
    <row r="62" spans="1:14" x14ac:dyDescent="0.2">
      <c r="A62" s="130">
        <v>45499</v>
      </c>
      <c r="B62" s="112"/>
      <c r="C62" s="189"/>
      <c r="D62" s="51">
        <v>20.149999999999999</v>
      </c>
      <c r="E62" s="52">
        <v>5.2118055555555563E-2</v>
      </c>
      <c r="F62" s="149">
        <v>16.11</v>
      </c>
      <c r="G62" s="312">
        <v>199</v>
      </c>
      <c r="H62" s="198" t="s">
        <v>244</v>
      </c>
      <c r="J62" s="97"/>
    </row>
    <row r="63" spans="1:14" x14ac:dyDescent="0.2">
      <c r="A63" s="130">
        <v>45503</v>
      </c>
      <c r="B63" s="112"/>
      <c r="C63" s="189"/>
      <c r="D63" s="51">
        <v>20.74</v>
      </c>
      <c r="E63" s="52">
        <v>4.8159722222222222E-2</v>
      </c>
      <c r="F63" s="149">
        <v>17.95</v>
      </c>
      <c r="G63" s="312">
        <v>228</v>
      </c>
      <c r="H63" s="198"/>
      <c r="I63" s="97"/>
      <c r="J63" s="97"/>
    </row>
    <row r="64" spans="1:14" x14ac:dyDescent="0.2">
      <c r="A64" s="130">
        <v>45504</v>
      </c>
      <c r="B64" s="112"/>
      <c r="C64" s="189"/>
      <c r="D64" s="51">
        <v>52.41</v>
      </c>
      <c r="E64" s="52">
        <v>0.11508101851851853</v>
      </c>
      <c r="F64" s="149">
        <v>18.97</v>
      </c>
      <c r="G64" s="312">
        <v>565</v>
      </c>
      <c r="H64" s="198"/>
      <c r="I64" s="97"/>
      <c r="J64" s="134"/>
    </row>
    <row r="65" spans="1:10" x14ac:dyDescent="0.2">
      <c r="A65" s="130">
        <v>45509</v>
      </c>
      <c r="B65" s="112"/>
      <c r="C65" s="189"/>
      <c r="D65" s="51">
        <v>22.55</v>
      </c>
      <c r="E65" s="52">
        <v>4.4826388888888895E-2</v>
      </c>
      <c r="F65" s="149">
        <v>20.96</v>
      </c>
      <c r="G65" s="312">
        <v>237</v>
      </c>
      <c r="H65" s="198"/>
      <c r="I65" s="97"/>
      <c r="J65" s="97"/>
    </row>
    <row r="66" spans="1:10" x14ac:dyDescent="0.2">
      <c r="A66" s="130">
        <v>45510</v>
      </c>
      <c r="B66" s="112"/>
      <c r="C66" s="189"/>
      <c r="D66" s="51">
        <v>30.16</v>
      </c>
      <c r="E66" s="52">
        <v>6.1064814814814815E-2</v>
      </c>
      <c r="F66" s="149">
        <v>20.57</v>
      </c>
      <c r="G66" s="312">
        <v>266</v>
      </c>
      <c r="H66" s="198"/>
      <c r="I66" s="97"/>
      <c r="J66" s="97"/>
    </row>
    <row r="67" spans="1:10" x14ac:dyDescent="0.2">
      <c r="A67" s="130">
        <v>45511</v>
      </c>
      <c r="B67" s="112"/>
      <c r="C67" s="189"/>
      <c r="D67" s="51">
        <v>31.91</v>
      </c>
      <c r="E67" s="52">
        <v>6.5798611111111113E-2</v>
      </c>
      <c r="F67" s="149">
        <v>20.2</v>
      </c>
      <c r="G67" s="312">
        <v>279</v>
      </c>
      <c r="H67" s="198"/>
      <c r="I67" s="97"/>
      <c r="J67" s="97"/>
    </row>
    <row r="68" spans="1:10" x14ac:dyDescent="0.2">
      <c r="A68" s="130">
        <v>45512</v>
      </c>
      <c r="B68" s="112"/>
      <c r="C68" s="189"/>
      <c r="D68" s="51">
        <v>33.479999999999997</v>
      </c>
      <c r="E68" s="52">
        <v>7.2314814814814818E-2</v>
      </c>
      <c r="F68" s="149">
        <v>19.29</v>
      </c>
      <c r="G68" s="312">
        <v>322</v>
      </c>
      <c r="H68" s="198"/>
      <c r="I68" s="97"/>
      <c r="J68" s="97"/>
    </row>
    <row r="69" spans="1:10" x14ac:dyDescent="0.2">
      <c r="A69" s="130">
        <v>45513</v>
      </c>
      <c r="B69" s="112"/>
      <c r="C69" s="189"/>
      <c r="D69" s="51">
        <v>23.36</v>
      </c>
      <c r="E69" s="52">
        <v>4.8020833333333339E-2</v>
      </c>
      <c r="F69" s="149">
        <v>20.27</v>
      </c>
      <c r="G69" s="312">
        <v>297</v>
      </c>
      <c r="H69" s="198"/>
    </row>
    <row r="70" spans="1:10" x14ac:dyDescent="0.2">
      <c r="A70" s="130">
        <v>45527</v>
      </c>
      <c r="B70" s="112"/>
      <c r="C70" s="189"/>
      <c r="D70" s="51">
        <v>22.36</v>
      </c>
      <c r="E70" s="52">
        <v>8.189814814814815E-2</v>
      </c>
      <c r="F70" s="149">
        <v>11.37</v>
      </c>
      <c r="G70" s="312">
        <v>184</v>
      </c>
      <c r="H70" s="198" t="s">
        <v>244</v>
      </c>
    </row>
    <row r="71" spans="1:10" x14ac:dyDescent="0.2">
      <c r="A71" s="130">
        <v>45531</v>
      </c>
      <c r="B71" s="112"/>
      <c r="C71" s="189"/>
      <c r="D71" s="51">
        <v>33.35</v>
      </c>
      <c r="E71" s="52">
        <v>6.5115740740740738E-2</v>
      </c>
      <c r="F71" s="149">
        <v>21.34</v>
      </c>
      <c r="G71" s="312">
        <v>238</v>
      </c>
      <c r="H71" s="316"/>
    </row>
    <row r="72" spans="1:10" x14ac:dyDescent="0.2">
      <c r="A72" s="130">
        <v>45532</v>
      </c>
      <c r="B72" s="112"/>
      <c r="C72" s="189"/>
      <c r="D72" s="51">
        <v>51.67</v>
      </c>
      <c r="E72" s="52">
        <v>0.11565972222222222</v>
      </c>
      <c r="F72" s="149">
        <v>18.61</v>
      </c>
      <c r="G72" s="312">
        <v>627</v>
      </c>
      <c r="H72" s="316"/>
    </row>
    <row r="73" spans="1:10" x14ac:dyDescent="0.2">
      <c r="A73" s="339">
        <v>45541</v>
      </c>
      <c r="B73" s="595" t="s">
        <v>376</v>
      </c>
      <c r="C73" s="572"/>
      <c r="D73" s="340">
        <v>61.12</v>
      </c>
      <c r="E73" s="341">
        <v>0.14548611111111112</v>
      </c>
      <c r="F73" s="342">
        <v>17.5</v>
      </c>
      <c r="G73" s="343">
        <v>602</v>
      </c>
      <c r="H73" s="344"/>
      <c r="I73" s="33"/>
    </row>
    <row r="74" spans="1:10" x14ac:dyDescent="0.2">
      <c r="A74" s="339">
        <v>45542</v>
      </c>
      <c r="B74" s="596"/>
      <c r="C74" s="572"/>
      <c r="D74" s="340">
        <v>78.680000000000007</v>
      </c>
      <c r="E74" s="341">
        <v>0.17975694444444446</v>
      </c>
      <c r="F74" s="342">
        <v>18.23</v>
      </c>
      <c r="G74" s="343">
        <v>429</v>
      </c>
      <c r="H74" s="344"/>
    </row>
    <row r="75" spans="1:10" x14ac:dyDescent="0.2">
      <c r="A75" s="339">
        <v>45543</v>
      </c>
      <c r="B75" s="597"/>
      <c r="C75" s="572"/>
      <c r="D75" s="340">
        <v>71.13</v>
      </c>
      <c r="E75" s="341">
        <v>0.1615625</v>
      </c>
      <c r="F75" s="342">
        <v>18.34</v>
      </c>
      <c r="G75" s="343">
        <v>348</v>
      </c>
      <c r="H75" s="344"/>
    </row>
    <row r="76" spans="1:10" x14ac:dyDescent="0.2">
      <c r="A76" s="130">
        <v>45553</v>
      </c>
      <c r="B76" s="112"/>
      <c r="C76" s="189"/>
      <c r="D76" s="51">
        <v>37.35</v>
      </c>
      <c r="E76" s="52">
        <v>8.9895833333333341E-2</v>
      </c>
      <c r="F76" s="149">
        <v>18.920000000000002</v>
      </c>
      <c r="G76" s="312">
        <v>459</v>
      </c>
      <c r="H76" s="316"/>
    </row>
    <row r="77" spans="1:10" x14ac:dyDescent="0.2">
      <c r="A77" s="130">
        <v>45556</v>
      </c>
      <c r="B77" s="112"/>
      <c r="C77" s="189"/>
      <c r="D77" s="51">
        <v>75.849999999999994</v>
      </c>
      <c r="E77" s="52">
        <v>0.16483796296296296</v>
      </c>
      <c r="F77" s="149">
        <v>18.920000000000002</v>
      </c>
      <c r="G77" s="312">
        <v>1109</v>
      </c>
      <c r="H77" s="316"/>
    </row>
    <row r="78" spans="1:10" x14ac:dyDescent="0.2">
      <c r="A78" s="130">
        <v>45560</v>
      </c>
      <c r="B78" s="112"/>
      <c r="C78" s="189"/>
      <c r="D78" s="51">
        <v>25.23</v>
      </c>
      <c r="E78" s="52">
        <v>5.1909722222222225E-2</v>
      </c>
      <c r="F78" s="149">
        <v>20.25</v>
      </c>
      <c r="G78" s="312">
        <v>198</v>
      </c>
      <c r="H78" s="316"/>
    </row>
    <row r="79" spans="1:10" x14ac:dyDescent="0.2">
      <c r="A79" s="130">
        <v>45563</v>
      </c>
      <c r="B79" s="67" t="s">
        <v>371</v>
      </c>
      <c r="C79" s="189"/>
      <c r="D79" s="51">
        <v>55.56</v>
      </c>
      <c r="E79" s="52">
        <v>0.16751157407407405</v>
      </c>
      <c r="F79" s="149">
        <v>15.34</v>
      </c>
      <c r="G79" s="312">
        <v>1684</v>
      </c>
      <c r="H79" s="316"/>
    </row>
    <row r="80" spans="1:10" x14ac:dyDescent="0.2">
      <c r="A80" s="130">
        <v>45571</v>
      </c>
      <c r="B80" s="112"/>
      <c r="C80" s="189"/>
      <c r="D80" s="51">
        <v>37.79</v>
      </c>
      <c r="E80" s="52">
        <v>8.5763888888888876E-2</v>
      </c>
      <c r="F80" s="149">
        <v>18.36</v>
      </c>
      <c r="G80" s="312">
        <v>548</v>
      </c>
      <c r="H80" s="195"/>
    </row>
    <row r="81" spans="1:10" x14ac:dyDescent="0.2">
      <c r="A81" s="130">
        <v>45573</v>
      </c>
      <c r="B81" s="112"/>
      <c r="C81" s="189"/>
      <c r="D81" s="51">
        <v>28.88</v>
      </c>
      <c r="E81" s="52">
        <v>5.9803240740740747E-2</v>
      </c>
      <c r="F81" s="149">
        <v>20.12</v>
      </c>
      <c r="G81" s="312">
        <v>264</v>
      </c>
      <c r="H81" s="316"/>
    </row>
    <row r="82" spans="1:10" x14ac:dyDescent="0.2">
      <c r="A82" s="130">
        <v>45579</v>
      </c>
      <c r="B82" s="112"/>
      <c r="C82" s="189"/>
      <c r="D82" s="51">
        <v>28.34</v>
      </c>
      <c r="E82" s="52">
        <v>5.8113425925925923E-2</v>
      </c>
      <c r="F82" s="149">
        <v>20.32</v>
      </c>
      <c r="G82" s="312">
        <v>275</v>
      </c>
      <c r="H82" s="316"/>
    </row>
    <row r="83" spans="1:10" x14ac:dyDescent="0.2">
      <c r="A83" s="130">
        <v>45581</v>
      </c>
      <c r="B83" s="112"/>
      <c r="C83" s="189"/>
      <c r="D83" s="51">
        <v>29.19</v>
      </c>
      <c r="E83" s="52">
        <v>6.1203703703703705E-2</v>
      </c>
      <c r="F83" s="149">
        <v>19.87</v>
      </c>
      <c r="G83" s="312">
        <v>290</v>
      </c>
      <c r="H83" s="316"/>
    </row>
    <row r="84" spans="1:10" ht="12" customHeight="1" x14ac:dyDescent="0.2">
      <c r="A84" s="130">
        <v>45587</v>
      </c>
      <c r="B84" s="112"/>
      <c r="C84" s="189"/>
      <c r="D84" s="51">
        <v>29.27</v>
      </c>
      <c r="E84" s="52">
        <v>5.9780092592592593E-2</v>
      </c>
      <c r="F84" s="149">
        <v>20.399999999999999</v>
      </c>
      <c r="G84" s="312">
        <v>288</v>
      </c>
      <c r="H84" s="316"/>
    </row>
    <row r="85" spans="1:10" x14ac:dyDescent="0.2">
      <c r="A85" s="130">
        <v>45589</v>
      </c>
      <c r="B85" s="112"/>
      <c r="C85" s="189"/>
      <c r="D85" s="51">
        <v>29.04</v>
      </c>
      <c r="E85" s="52">
        <v>5.6168981481481479E-2</v>
      </c>
      <c r="F85" s="149">
        <v>21.54</v>
      </c>
      <c r="G85" s="312">
        <v>281</v>
      </c>
      <c r="H85" s="316"/>
    </row>
    <row r="86" spans="1:10" x14ac:dyDescent="0.2">
      <c r="A86" s="130">
        <v>45605</v>
      </c>
      <c r="B86" s="112"/>
      <c r="C86" s="189"/>
      <c r="D86" s="51">
        <v>56.52</v>
      </c>
      <c r="E86" s="52">
        <v>0.15462962962962964</v>
      </c>
      <c r="F86" s="149">
        <v>15.23</v>
      </c>
      <c r="G86" s="312">
        <v>1188</v>
      </c>
      <c r="H86" s="316"/>
    </row>
    <row r="87" spans="1:10" x14ac:dyDescent="0.2">
      <c r="A87" s="130"/>
      <c r="B87" s="112"/>
      <c r="C87" s="189"/>
      <c r="D87" s="51"/>
      <c r="E87" s="52"/>
      <c r="F87" s="149"/>
      <c r="G87" s="312"/>
      <c r="H87" s="316"/>
    </row>
    <row r="88" spans="1:10" x14ac:dyDescent="0.2">
      <c r="A88" s="130"/>
      <c r="B88" s="112"/>
      <c r="C88" s="189"/>
      <c r="D88" s="51"/>
      <c r="E88" s="52"/>
      <c r="F88" s="149"/>
      <c r="G88" s="312"/>
      <c r="H88" s="316"/>
    </row>
    <row r="89" spans="1:10" x14ac:dyDescent="0.2">
      <c r="A89" s="130"/>
      <c r="B89" s="112"/>
      <c r="C89" s="189"/>
      <c r="D89" s="51"/>
      <c r="E89" s="52"/>
      <c r="F89" s="149"/>
      <c r="G89" s="312"/>
      <c r="H89" s="316"/>
    </row>
    <row r="90" spans="1:10" x14ac:dyDescent="0.2">
      <c r="A90" s="130"/>
      <c r="B90" s="112"/>
      <c r="C90" s="189"/>
      <c r="D90" s="51"/>
      <c r="E90" s="52"/>
      <c r="F90" s="149"/>
      <c r="G90" s="312"/>
      <c r="H90" s="316"/>
    </row>
    <row r="91" spans="1:10" x14ac:dyDescent="0.2">
      <c r="A91" s="130"/>
      <c r="B91" s="112"/>
      <c r="C91" s="189"/>
      <c r="D91" s="51"/>
      <c r="E91" s="52"/>
      <c r="F91" s="149"/>
      <c r="G91" s="312"/>
      <c r="H91" s="316"/>
    </row>
    <row r="92" spans="1:10" x14ac:dyDescent="0.2">
      <c r="A92" s="130"/>
      <c r="B92" s="112"/>
      <c r="C92" s="189"/>
      <c r="D92" s="51"/>
      <c r="E92" s="52"/>
      <c r="F92" s="149"/>
      <c r="G92" s="312"/>
      <c r="H92" s="316"/>
    </row>
    <row r="93" spans="1:10" x14ac:dyDescent="0.2">
      <c r="A93" s="130"/>
      <c r="B93" s="112"/>
      <c r="C93" s="189"/>
      <c r="D93" s="51"/>
      <c r="E93" s="52"/>
      <c r="F93" s="149"/>
      <c r="G93" s="312"/>
      <c r="H93" s="316"/>
    </row>
    <row r="94" spans="1:10" x14ac:dyDescent="0.2">
      <c r="A94" s="130"/>
      <c r="B94" s="112"/>
      <c r="C94" s="189"/>
      <c r="D94" s="51"/>
      <c r="E94" s="52"/>
      <c r="F94" s="149"/>
      <c r="G94" s="312"/>
      <c r="H94" s="316"/>
    </row>
    <row r="95" spans="1:10" x14ac:dyDescent="0.2">
      <c r="A95" s="130"/>
      <c r="B95" s="112"/>
      <c r="C95" s="189"/>
      <c r="D95" s="51"/>
      <c r="E95" s="52"/>
      <c r="F95" s="149"/>
      <c r="G95" s="312"/>
      <c r="H95" s="316"/>
    </row>
    <row r="96" spans="1:10" x14ac:dyDescent="0.2">
      <c r="A96" s="130"/>
      <c r="B96" s="112"/>
      <c r="C96" s="189"/>
      <c r="D96" s="51"/>
      <c r="E96" s="52"/>
      <c r="F96" s="149"/>
      <c r="G96" s="312"/>
      <c r="H96" s="316"/>
      <c r="J96" s="13"/>
    </row>
    <row r="97" spans="1:14" x14ac:dyDescent="0.2">
      <c r="A97" s="130"/>
      <c r="B97" s="112"/>
      <c r="C97" s="189"/>
      <c r="D97" s="51"/>
      <c r="E97" s="52"/>
      <c r="F97" s="149"/>
      <c r="G97" s="312"/>
      <c r="H97" s="316"/>
    </row>
    <row r="98" spans="1:14" x14ac:dyDescent="0.2">
      <c r="A98" s="130"/>
      <c r="B98" s="112"/>
      <c r="C98" s="189"/>
      <c r="D98" s="51"/>
      <c r="E98" s="52"/>
      <c r="F98" s="149"/>
      <c r="G98" s="312"/>
      <c r="H98" s="316"/>
      <c r="I98" s="33"/>
      <c r="K98" s="33"/>
      <c r="L98" s="33"/>
      <c r="M98" s="33"/>
      <c r="N98" s="33"/>
    </row>
    <row r="99" spans="1:14" x14ac:dyDescent="0.2">
      <c r="A99" s="130"/>
      <c r="B99" s="112"/>
      <c r="C99" s="189"/>
      <c r="D99" s="51"/>
      <c r="E99" s="52"/>
      <c r="F99" s="149"/>
      <c r="G99" s="312"/>
      <c r="H99" s="316"/>
    </row>
    <row r="100" spans="1:14" x14ac:dyDescent="0.2">
      <c r="A100" s="130"/>
      <c r="B100" s="112"/>
      <c r="C100" s="189"/>
      <c r="D100" s="51"/>
      <c r="E100" s="52"/>
      <c r="F100" s="149"/>
      <c r="G100" s="312"/>
      <c r="H100" s="316"/>
    </row>
    <row r="101" spans="1:14" x14ac:dyDescent="0.2">
      <c r="A101" s="130"/>
      <c r="B101" s="112"/>
      <c r="C101" s="189"/>
      <c r="D101" s="51"/>
      <c r="E101" s="52"/>
      <c r="F101" s="149"/>
      <c r="G101" s="312"/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60">
        <f>SUM(D2:D140 )-G157</f>
        <v>2154.4299999999998</v>
      </c>
      <c r="E141" s="306">
        <f>SUM(E2:E140)-F163</f>
        <v>4.7013425925925896</v>
      </c>
      <c r="F141" s="307">
        <f>AVERAGEIF(H2:H140,"&lt;&gt;e",F2:F140)</f>
        <v>19.809999999999999</v>
      </c>
      <c r="G141" s="315">
        <f>SUM(G2:G140)-H163</f>
        <v>25971</v>
      </c>
      <c r="H141" s="15" t="s">
        <v>90</v>
      </c>
      <c r="I141">
        <f>SUM(J2:J120)</f>
        <v>3288</v>
      </c>
    </row>
    <row r="142" spans="1:9" ht="13.5" thickBot="1" x14ac:dyDescent="0.25">
      <c r="I142" s="33">
        <f>I141/C157</f>
        <v>1.2526048313669318</v>
      </c>
    </row>
    <row r="143" spans="1:9" x14ac:dyDescent="0.2">
      <c r="B143" s="259"/>
      <c r="C143" s="588" t="s">
        <v>247</v>
      </c>
      <c r="D143" s="589"/>
      <c r="E143" s="588" t="s">
        <v>248</v>
      </c>
      <c r="F143" s="589"/>
      <c r="G143" s="588" t="s">
        <v>249</v>
      </c>
      <c r="H143" s="589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0</v>
      </c>
      <c r="D145" s="333">
        <f t="shared" ref="D145:D156" si="1">COUNTIFS($A$2:$A$140,"&gt;="&amp;F166,$A$2:$A$140,"&lt;="&amp;G166)</f>
        <v>0</v>
      </c>
      <c r="E145" s="334">
        <f>SUMIFS($D$2:$D$140,$A$2:$A$140,"&lt;="&amp;G166,H2:H140,"")</f>
        <v>0</v>
      </c>
      <c r="F145" s="333">
        <f>COUNTIFS($A$2:$A$140,"&gt;="&amp;F166,$A$2:$A$140,"&lt;="&amp;G166,H2:H140,"")</f>
        <v>0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182.12</v>
      </c>
      <c r="D146" s="333">
        <f t="shared" si="1"/>
        <v>8</v>
      </c>
      <c r="E146" s="335">
        <f>SUMIFS($D$2:$D$140,$A$2:$A$140,"&gt;="&amp;F167,$A$2:$A$140,"&lt;="&amp;G167,$H$2:$H$140,"")</f>
        <v>182.12</v>
      </c>
      <c r="F146" s="333">
        <f t="shared" ref="F146:F156" si="3">COUNTIFS($A$2:$A$140,"&gt;="&amp;F167,$A$2:$A$140,"&lt;="&amp;G167,$H$2:$H$140,"")</f>
        <v>8</v>
      </c>
      <c r="G146" s="333">
        <f t="shared" ref="G146:G156" si="4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190.37</v>
      </c>
      <c r="D147" s="333">
        <f t="shared" si="1"/>
        <v>8</v>
      </c>
      <c r="E147" s="335">
        <f t="shared" ref="E147:E156" si="5">SUMIFS($D$2:$D$140,$A$2:$A$140,"&gt;="&amp;F168,$A$2:$A$140,"&lt;="&amp;G168,$H$2:$H$140,"")</f>
        <v>190.37</v>
      </c>
      <c r="F147" s="333">
        <f t="shared" si="3"/>
        <v>8</v>
      </c>
      <c r="G147" s="333">
        <f t="shared" si="4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>SUMIFS($D$2:$D$140,$A$2:$A$140,"&gt;="&amp;F169,$A$2:$A$140,"&lt;="&amp;G169)</f>
        <v>233.99</v>
      </c>
      <c r="D148" s="333">
        <f t="shared" si="1"/>
        <v>11</v>
      </c>
      <c r="E148" s="335">
        <f>SUMIFS($D$2:$D$140,$A$2:$A$140,"&gt;="&amp;F169,$A$2:$A$140,"&lt;="&amp;G169,$H$2:$H$140,"")</f>
        <v>159.65</v>
      </c>
      <c r="F148" s="333">
        <f t="shared" si="3"/>
        <v>6</v>
      </c>
      <c r="G148" s="333">
        <f t="shared" si="4"/>
        <v>74.34</v>
      </c>
      <c r="H148" s="333">
        <f t="shared" si="2"/>
        <v>5</v>
      </c>
    </row>
    <row r="149" spans="2:8" x14ac:dyDescent="0.2">
      <c r="B149" s="271" t="s">
        <v>182</v>
      </c>
      <c r="C149" s="333">
        <f t="shared" si="0"/>
        <v>159.42000000000002</v>
      </c>
      <c r="D149" s="333">
        <f t="shared" si="1"/>
        <v>7</v>
      </c>
      <c r="E149" s="335">
        <f t="shared" si="5"/>
        <v>116.46</v>
      </c>
      <c r="F149" s="333">
        <f t="shared" si="3"/>
        <v>5</v>
      </c>
      <c r="G149" s="333">
        <f t="shared" si="4"/>
        <v>42.96</v>
      </c>
      <c r="H149" s="333">
        <f t="shared" si="2"/>
        <v>2</v>
      </c>
    </row>
    <row r="150" spans="2:8" x14ac:dyDescent="0.2">
      <c r="B150" s="271" t="s">
        <v>183</v>
      </c>
      <c r="C150" s="333">
        <f t="shared" si="0"/>
        <v>478.5800000000001</v>
      </c>
      <c r="D150" s="333">
        <f t="shared" si="1"/>
        <v>14</v>
      </c>
      <c r="E150" s="335">
        <f t="shared" si="5"/>
        <v>372.12000000000006</v>
      </c>
      <c r="F150" s="333">
        <f t="shared" si="3"/>
        <v>11</v>
      </c>
      <c r="G150" s="333">
        <f t="shared" si="4"/>
        <v>106.46</v>
      </c>
      <c r="H150" s="333">
        <f t="shared" si="2"/>
        <v>3</v>
      </c>
    </row>
    <row r="151" spans="2:8" x14ac:dyDescent="0.2">
      <c r="B151" s="271" t="s">
        <v>184</v>
      </c>
      <c r="C151" s="333">
        <f t="shared" si="0"/>
        <v>487.65999999999997</v>
      </c>
      <c r="D151" s="333">
        <f t="shared" si="1"/>
        <v>15</v>
      </c>
      <c r="E151" s="335">
        <f t="shared" si="5"/>
        <v>263.27999999999997</v>
      </c>
      <c r="F151" s="333">
        <f t="shared" si="3"/>
        <v>7</v>
      </c>
      <c r="G151" s="333">
        <f t="shared" si="4"/>
        <v>224.38000000000002</v>
      </c>
      <c r="H151" s="333">
        <f t="shared" si="2"/>
        <v>8</v>
      </c>
    </row>
    <row r="152" spans="2:8" x14ac:dyDescent="0.2">
      <c r="B152" s="271" t="s">
        <v>185</v>
      </c>
      <c r="C152" s="333">
        <f t="shared" si="0"/>
        <v>248.83999999999997</v>
      </c>
      <c r="D152" s="333">
        <f t="shared" si="1"/>
        <v>8</v>
      </c>
      <c r="E152" s="335">
        <f t="shared" si="5"/>
        <v>226.47999999999996</v>
      </c>
      <c r="F152" s="333">
        <f t="shared" si="3"/>
        <v>7</v>
      </c>
      <c r="G152" s="333">
        <f t="shared" si="4"/>
        <v>22.36</v>
      </c>
      <c r="H152" s="333">
        <f t="shared" si="2"/>
        <v>1</v>
      </c>
    </row>
    <row r="153" spans="2:8" x14ac:dyDescent="0.2">
      <c r="B153" s="271" t="s">
        <v>186</v>
      </c>
      <c r="C153" s="333">
        <f t="shared" si="0"/>
        <v>404.92</v>
      </c>
      <c r="D153" s="333">
        <f t="shared" si="1"/>
        <v>7</v>
      </c>
      <c r="E153" s="335">
        <f t="shared" si="5"/>
        <v>404.92</v>
      </c>
      <c r="F153" s="333">
        <f t="shared" si="3"/>
        <v>7</v>
      </c>
      <c r="G153" s="333">
        <f t="shared" si="4"/>
        <v>0</v>
      </c>
      <c r="H153" s="333">
        <f t="shared" si="2"/>
        <v>0</v>
      </c>
    </row>
    <row r="154" spans="2:8" x14ac:dyDescent="0.2">
      <c r="B154" s="271" t="s">
        <v>187</v>
      </c>
      <c r="C154" s="333">
        <f t="shared" si="0"/>
        <v>182.51</v>
      </c>
      <c r="D154" s="333">
        <f>COUNTIFS($A$2:$A$140,"&gt;="&amp;F175,$A$2:$A$140,"&lt;="&amp;G175)</f>
        <v>6</v>
      </c>
      <c r="E154" s="335">
        <f t="shared" si="5"/>
        <v>182.51</v>
      </c>
      <c r="F154" s="333">
        <f t="shared" si="3"/>
        <v>6</v>
      </c>
      <c r="G154" s="333">
        <f t="shared" si="4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56.52</v>
      </c>
      <c r="D155" s="333">
        <f t="shared" si="1"/>
        <v>1</v>
      </c>
      <c r="E155" s="335">
        <f t="shared" si="5"/>
        <v>56.52</v>
      </c>
      <c r="F155" s="333">
        <f t="shared" si="3"/>
        <v>1</v>
      </c>
      <c r="G155" s="333">
        <f t="shared" si="4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0</v>
      </c>
      <c r="D156" s="333">
        <f t="shared" si="1"/>
        <v>0</v>
      </c>
      <c r="E156" s="335">
        <f t="shared" si="5"/>
        <v>0</v>
      </c>
      <c r="F156" s="333">
        <f t="shared" si="3"/>
        <v>0</v>
      </c>
      <c r="G156" s="333">
        <f t="shared" si="4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2624.93</v>
      </c>
      <c r="D157" s="337">
        <f>SUM(D145:D156)</f>
        <v>85</v>
      </c>
      <c r="E157" s="336">
        <f t="shared" ref="E157:H157" si="6">SUM(E145:E156)</f>
        <v>2154.4299999999998</v>
      </c>
      <c r="F157" s="337">
        <f t="shared" si="6"/>
        <v>66</v>
      </c>
      <c r="G157" s="336">
        <f t="shared" si="6"/>
        <v>470.5</v>
      </c>
      <c r="H157" s="338">
        <f t="shared" si="6"/>
        <v>19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20.326037735849059</v>
      </c>
      <c r="E161" s="590" t="s">
        <v>246</v>
      </c>
      <c r="F161" s="591"/>
      <c r="G161" s="591"/>
      <c r="H161" s="592"/>
    </row>
    <row r="162" spans="2:8" x14ac:dyDescent="0.2">
      <c r="B162" s="136" t="s">
        <v>196</v>
      </c>
      <c r="C162" s="33">
        <f>AVERAGEIFS(F2:F140,G2:G140,"&gt;500",G2:G140,"&lt;1000",H2:H140,"&lt;&gt;e")</f>
        <v>18.738888888888894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15.3825</v>
      </c>
      <c r="E163" s="321">
        <f>SUMIFS(D2:D140,H2:H140,"e")</f>
        <v>470.5</v>
      </c>
      <c r="F163" s="256">
        <f>SUMIFS(E2:E140,H2:$H$140,"e")</f>
        <v>1.6392824074074077</v>
      </c>
      <c r="G163" s="257">
        <f>AVERAGEIF(H2:H140,"e",F2:F140)</f>
        <v>11.54684210526316</v>
      </c>
      <c r="H163" s="258">
        <f>SUMIFS(G2:G140,$H2:H$140,"e")</f>
        <v>4261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2024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4</v>
      </c>
      <c r="D166" s="145"/>
      <c r="E166" t="s">
        <v>178</v>
      </c>
      <c r="F166" s="130">
        <v>45292</v>
      </c>
      <c r="G166" s="130">
        <v>45322</v>
      </c>
    </row>
    <row r="167" spans="2:8" x14ac:dyDescent="0.2">
      <c r="B167" s="283" t="s">
        <v>274</v>
      </c>
      <c r="C167" s="280">
        <f>COUNTIFS($D$2:$D$140,"&gt;=10",$D$2:$D$140,"&lt;20")</f>
        <v>14</v>
      </c>
      <c r="D167" s="145"/>
      <c r="E167" t="s">
        <v>179</v>
      </c>
      <c r="F167" s="130">
        <v>45323</v>
      </c>
      <c r="G167" s="130">
        <v>45351</v>
      </c>
    </row>
    <row r="168" spans="2:8" x14ac:dyDescent="0.2">
      <c r="B168" s="283" t="s">
        <v>266</v>
      </c>
      <c r="C168" s="280">
        <f>COUNTIFS($D$2:$D$140,"&gt;=20",$D$2:$D$140,"&lt;30")</f>
        <v>35</v>
      </c>
      <c r="E168" t="s">
        <v>180</v>
      </c>
      <c r="F168" s="130">
        <v>45352</v>
      </c>
      <c r="G168" s="130">
        <v>45382</v>
      </c>
    </row>
    <row r="169" spans="2:8" x14ac:dyDescent="0.2">
      <c r="B169" s="283" t="s">
        <v>268</v>
      </c>
      <c r="C169" s="280">
        <f>COUNTIFS($D$2:$D$140,"&gt;=30",$D$2:$D$140,"&lt;40")</f>
        <v>16</v>
      </c>
      <c r="E169" t="s">
        <v>181</v>
      </c>
      <c r="F169" s="130">
        <v>45383</v>
      </c>
      <c r="G169" s="130">
        <v>45412</v>
      </c>
    </row>
    <row r="170" spans="2:8" x14ac:dyDescent="0.2">
      <c r="B170" s="283" t="s">
        <v>267</v>
      </c>
      <c r="C170" s="280">
        <f>COUNTIFS($D$2:$D$140,"&gt;=40",$D$2:$D$140,"&lt;50")</f>
        <v>3</v>
      </c>
      <c r="E170" t="s">
        <v>182</v>
      </c>
      <c r="F170" s="130">
        <v>45413</v>
      </c>
      <c r="G170" s="130">
        <v>45443</v>
      </c>
    </row>
    <row r="171" spans="2:8" x14ac:dyDescent="0.2">
      <c r="B171" s="283" t="s">
        <v>269</v>
      </c>
      <c r="C171" s="280">
        <f>COUNTIFS($D$2:$D$140,"&gt;=50",$D$2:$D$140,"&lt;60")</f>
        <v>7</v>
      </c>
      <c r="E171" t="s">
        <v>183</v>
      </c>
      <c r="F171" s="130">
        <v>45444</v>
      </c>
      <c r="G171" s="130">
        <v>45473</v>
      </c>
    </row>
    <row r="172" spans="2:8" x14ac:dyDescent="0.2">
      <c r="B172" s="283" t="s">
        <v>270</v>
      </c>
      <c r="C172" s="280">
        <f>COUNTIFS($D$2:$D$140,"&gt;=60",$D$2:$D$140,"&lt;70")</f>
        <v>1</v>
      </c>
      <c r="E172" t="s">
        <v>184</v>
      </c>
      <c r="F172" s="130">
        <v>45474</v>
      </c>
      <c r="G172" s="130">
        <v>45504</v>
      </c>
    </row>
    <row r="173" spans="2:8" x14ac:dyDescent="0.2">
      <c r="B173" s="283" t="s">
        <v>271</v>
      </c>
      <c r="C173" s="280">
        <f>COUNTIFS($D$2:$D$140,"&gt;=70",$D$2:$D$140,"&lt;80")</f>
        <v>5</v>
      </c>
      <c r="E173" t="s">
        <v>185</v>
      </c>
      <c r="F173" s="130">
        <v>45505</v>
      </c>
      <c r="G173" s="130">
        <v>45535</v>
      </c>
    </row>
    <row r="174" spans="2:8" x14ac:dyDescent="0.2">
      <c r="B174" s="283" t="s">
        <v>272</v>
      </c>
      <c r="C174" s="280">
        <f>COUNTIFS($D$2:$D$140,"&gt;=80",$D$2:$D$140,"&lt;90")</f>
        <v>0</v>
      </c>
      <c r="E174" t="s">
        <v>186</v>
      </c>
      <c r="F174" s="130">
        <v>45536</v>
      </c>
      <c r="G174" s="130">
        <v>45565</v>
      </c>
    </row>
    <row r="175" spans="2:8" x14ac:dyDescent="0.2">
      <c r="B175" s="283" t="s">
        <v>273</v>
      </c>
      <c r="C175" s="280">
        <f>COUNTIFS($D$2:$D$140,"&gt;=90",$D$2:$D$140,"&lt;100")</f>
        <v>0</v>
      </c>
      <c r="E175" t="s">
        <v>187</v>
      </c>
      <c r="F175" s="130">
        <v>45566</v>
      </c>
      <c r="G175" s="130">
        <v>45596</v>
      </c>
    </row>
    <row r="176" spans="2:8" x14ac:dyDescent="0.2">
      <c r="B176" s="283" t="s">
        <v>275</v>
      </c>
      <c r="C176" s="280">
        <f>COUNTIFS($D$2:$D$140,"&gt;=100",$D$2:$D$140,"&lt;110")</f>
        <v>0</v>
      </c>
      <c r="E176" t="s">
        <v>188</v>
      </c>
      <c r="F176" s="130">
        <v>45597</v>
      </c>
      <c r="G176" s="130">
        <v>45626</v>
      </c>
    </row>
    <row r="177" spans="2:7" ht="13.5" thickBot="1" x14ac:dyDescent="0.25">
      <c r="B177" s="284" t="s">
        <v>276</v>
      </c>
      <c r="C177" s="285">
        <f>COUNTIFS($D$2:$D$140,"&gt;=110",$D$2:$D$140,"&lt;150")</f>
        <v>0</v>
      </c>
      <c r="E177" t="s">
        <v>189</v>
      </c>
      <c r="F177" s="130">
        <v>45627</v>
      </c>
      <c r="G177" s="130">
        <v>45657</v>
      </c>
    </row>
    <row r="178" spans="2:7" x14ac:dyDescent="0.2">
      <c r="C178" s="31">
        <f>SUM(C166:C177)</f>
        <v>85</v>
      </c>
    </row>
  </sheetData>
  <mergeCells count="6">
    <mergeCell ref="C143:D143"/>
    <mergeCell ref="E143:F143"/>
    <mergeCell ref="G143:H143"/>
    <mergeCell ref="E161:H161"/>
    <mergeCell ref="B55:B56"/>
    <mergeCell ref="B73:B7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A280B-718E-4DFE-A8D6-2813A056AC7F}">
  <dimension ref="A1:Q178"/>
  <sheetViews>
    <sheetView zoomScaleNormal="100" workbookViewId="0">
      <pane ySplit="1" topLeftCell="A29" activePane="bottomLeft" state="frozen"/>
      <selection pane="bottomLeft" activeCell="D48" sqref="D48:D51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x14ac:dyDescent="0.2">
      <c r="A2" s="129">
        <v>44929</v>
      </c>
      <c r="B2" s="112"/>
      <c r="C2" s="188"/>
      <c r="D2" s="60">
        <v>19.27</v>
      </c>
      <c r="E2" s="61">
        <v>4.2268518518518518E-2</v>
      </c>
      <c r="F2" s="148">
        <v>18.989999999999998</v>
      </c>
      <c r="G2" s="311">
        <v>258</v>
      </c>
      <c r="H2" s="322"/>
      <c r="I2" s="323"/>
      <c r="J2" s="6"/>
      <c r="K2" s="275"/>
    </row>
    <row r="3" spans="1:15" x14ac:dyDescent="0.2">
      <c r="A3" s="129">
        <v>44930</v>
      </c>
      <c r="B3" s="112"/>
      <c r="C3" s="189"/>
      <c r="D3" s="51">
        <v>18.5</v>
      </c>
      <c r="E3" s="52">
        <v>3.7592592592592594E-2</v>
      </c>
      <c r="F3" s="149">
        <v>20.51</v>
      </c>
      <c r="G3" s="312">
        <v>233</v>
      </c>
      <c r="H3" s="322"/>
      <c r="I3" s="260"/>
      <c r="J3" s="261"/>
    </row>
    <row r="4" spans="1:15" x14ac:dyDescent="0.2">
      <c r="A4" s="129">
        <v>44931</v>
      </c>
      <c r="B4" s="112"/>
      <c r="C4" s="189"/>
      <c r="D4" s="51">
        <v>19.41</v>
      </c>
      <c r="E4" s="52">
        <v>4.7708333333333332E-2</v>
      </c>
      <c r="F4" s="149">
        <v>16.95</v>
      </c>
      <c r="G4" s="312">
        <v>241</v>
      </c>
      <c r="H4" s="322"/>
      <c r="I4" s="260"/>
      <c r="J4" s="261"/>
    </row>
    <row r="5" spans="1:15" x14ac:dyDescent="0.2">
      <c r="A5" s="130">
        <v>44937</v>
      </c>
      <c r="B5" s="112"/>
      <c r="C5" s="189"/>
      <c r="D5" s="51">
        <v>20.21</v>
      </c>
      <c r="E5" s="52">
        <v>3.9432870370370368E-2</v>
      </c>
      <c r="F5" s="149">
        <v>21.35</v>
      </c>
      <c r="G5" s="312">
        <v>220</v>
      </c>
      <c r="H5" s="322"/>
      <c r="I5" s="260"/>
      <c r="J5" s="261"/>
    </row>
    <row r="6" spans="1:15" x14ac:dyDescent="0.2">
      <c r="A6" s="130">
        <v>44938</v>
      </c>
      <c r="B6" s="112"/>
      <c r="C6" s="189"/>
      <c r="D6" s="51">
        <v>15.79</v>
      </c>
      <c r="E6" s="52">
        <v>3.6064814814814813E-2</v>
      </c>
      <c r="F6" s="149">
        <v>18.239999999999998</v>
      </c>
      <c r="G6" s="312">
        <v>231</v>
      </c>
      <c r="H6" s="322"/>
      <c r="I6" s="324"/>
      <c r="J6" s="261"/>
    </row>
    <row r="7" spans="1:15" x14ac:dyDescent="0.2">
      <c r="A7" s="130">
        <v>44946</v>
      </c>
      <c r="B7" s="112"/>
      <c r="C7" s="189"/>
      <c r="D7" s="51">
        <v>19.559999999999999</v>
      </c>
      <c r="E7" s="52">
        <v>4.0949074074074075E-2</v>
      </c>
      <c r="F7" s="149">
        <v>19.91</v>
      </c>
      <c r="G7" s="312">
        <v>266</v>
      </c>
      <c r="H7" s="322"/>
      <c r="I7" s="325"/>
      <c r="J7" s="261"/>
    </row>
    <row r="8" spans="1:15" x14ac:dyDescent="0.2">
      <c r="A8" s="130">
        <v>44979</v>
      </c>
      <c r="B8" s="112"/>
      <c r="C8" s="189"/>
      <c r="D8" s="51">
        <v>28.39</v>
      </c>
      <c r="E8" s="52">
        <v>5.6574074074074075E-2</v>
      </c>
      <c r="F8" s="149">
        <v>20.92</v>
      </c>
      <c r="G8" s="312">
        <v>357</v>
      </c>
      <c r="H8" s="322"/>
      <c r="I8" s="260"/>
      <c r="J8" s="261"/>
    </row>
    <row r="9" spans="1:15" x14ac:dyDescent="0.2">
      <c r="A9" s="130">
        <v>44980</v>
      </c>
      <c r="B9" s="112"/>
      <c r="C9" s="189"/>
      <c r="D9" s="51">
        <v>29.56</v>
      </c>
      <c r="E9" s="52">
        <v>5.9224537037037041E-2</v>
      </c>
      <c r="F9" s="149">
        <v>20.8</v>
      </c>
      <c r="G9" s="312">
        <v>386</v>
      </c>
      <c r="H9" s="322"/>
      <c r="I9" s="260"/>
      <c r="J9" s="261"/>
      <c r="K9" s="12"/>
    </row>
    <row r="10" spans="1:15" x14ac:dyDescent="0.2">
      <c r="A10" s="130">
        <v>44998</v>
      </c>
      <c r="B10" s="112"/>
      <c r="C10" s="189"/>
      <c r="D10" s="51">
        <v>23.67</v>
      </c>
      <c r="E10" s="52">
        <v>4.538194444444444E-2</v>
      </c>
      <c r="F10" s="149">
        <v>21.73</v>
      </c>
      <c r="G10" s="312">
        <v>246</v>
      </c>
      <c r="H10" s="322"/>
      <c r="I10" s="260"/>
      <c r="J10" s="261"/>
      <c r="L10" s="186"/>
      <c r="M10" s="13"/>
      <c r="N10" s="186"/>
      <c r="O10" s="186"/>
    </row>
    <row r="11" spans="1:15" x14ac:dyDescent="0.2">
      <c r="A11" s="130">
        <v>44999</v>
      </c>
      <c r="B11" s="112"/>
      <c r="C11" s="189"/>
      <c r="D11" s="51">
        <v>19.36</v>
      </c>
      <c r="E11" s="52">
        <v>4.0208333333333332E-2</v>
      </c>
      <c r="F11" s="149">
        <v>20.059999999999999</v>
      </c>
      <c r="G11" s="312">
        <v>250</v>
      </c>
      <c r="H11" s="322"/>
      <c r="I11" s="260"/>
      <c r="J11" s="261"/>
      <c r="L11" s="194"/>
    </row>
    <row r="12" spans="1:15" x14ac:dyDescent="0.2">
      <c r="A12" s="130">
        <v>45000</v>
      </c>
      <c r="B12" s="112"/>
      <c r="C12" s="189"/>
      <c r="D12" s="51">
        <v>25.2</v>
      </c>
      <c r="E12" s="52">
        <v>5.1666666666666666E-2</v>
      </c>
      <c r="F12" s="149">
        <v>20.32</v>
      </c>
      <c r="G12" s="312">
        <v>335</v>
      </c>
      <c r="H12" s="322"/>
      <c r="I12" s="260"/>
      <c r="J12" s="261"/>
    </row>
    <row r="13" spans="1:15" x14ac:dyDescent="0.2">
      <c r="A13" s="130">
        <v>45001</v>
      </c>
      <c r="B13" s="112"/>
      <c r="C13" s="189"/>
      <c r="D13" s="51">
        <v>28.64</v>
      </c>
      <c r="E13" s="52">
        <v>6.1967592592592595E-2</v>
      </c>
      <c r="F13" s="149">
        <v>19.260000000000002</v>
      </c>
      <c r="G13" s="312">
        <v>371</v>
      </c>
      <c r="H13" s="322"/>
      <c r="I13" s="260"/>
      <c r="J13" s="261"/>
      <c r="N13" s="36"/>
      <c r="O13" s="36"/>
    </row>
    <row r="14" spans="1:15" x14ac:dyDescent="0.2">
      <c r="A14" s="130">
        <v>45005</v>
      </c>
      <c r="B14" s="112"/>
      <c r="C14" s="189"/>
      <c r="D14" s="51">
        <v>25.36</v>
      </c>
      <c r="E14" s="52">
        <v>5.4178240740740735E-2</v>
      </c>
      <c r="F14" s="149">
        <v>19.5</v>
      </c>
      <c r="G14" s="312">
        <v>284</v>
      </c>
      <c r="H14" s="322"/>
      <c r="I14" s="326"/>
      <c r="J14" s="261"/>
      <c r="N14" s="184"/>
      <c r="O14" s="36"/>
    </row>
    <row r="15" spans="1:15" x14ac:dyDescent="0.2">
      <c r="A15" s="130">
        <v>45006</v>
      </c>
      <c r="B15" s="112"/>
      <c r="C15" s="189"/>
      <c r="D15" s="51">
        <v>27.21</v>
      </c>
      <c r="E15" s="52">
        <v>5.5891203703703707E-2</v>
      </c>
      <c r="F15" s="149">
        <v>20.28</v>
      </c>
      <c r="G15" s="312">
        <v>343</v>
      </c>
      <c r="H15" s="322"/>
      <c r="I15" s="260"/>
      <c r="J15" s="261"/>
      <c r="L15" s="186"/>
      <c r="N15" s="184"/>
      <c r="O15" s="36"/>
    </row>
    <row r="16" spans="1:15" x14ac:dyDescent="0.2">
      <c r="A16" s="130">
        <v>45007</v>
      </c>
      <c r="B16" s="112"/>
      <c r="C16" s="189"/>
      <c r="D16" s="51">
        <v>29.27</v>
      </c>
      <c r="E16" s="52">
        <v>5.8194444444444444E-2</v>
      </c>
      <c r="F16" s="149">
        <v>20.96</v>
      </c>
      <c r="G16" s="312">
        <v>357</v>
      </c>
      <c r="H16" s="322"/>
      <c r="I16" s="326"/>
      <c r="J16" s="261"/>
      <c r="N16" s="184"/>
      <c r="O16" s="36"/>
    </row>
    <row r="17" spans="1:15" x14ac:dyDescent="0.2">
      <c r="A17" s="130">
        <v>45022</v>
      </c>
      <c r="B17" s="112"/>
      <c r="C17" s="189"/>
      <c r="D17" s="51">
        <v>37.270000000000003</v>
      </c>
      <c r="E17" s="52">
        <v>7.2361111111111112E-2</v>
      </c>
      <c r="F17" s="149">
        <v>21.46</v>
      </c>
      <c r="G17" s="312">
        <v>286</v>
      </c>
      <c r="H17" s="322"/>
      <c r="I17" s="260"/>
      <c r="J17" s="261"/>
      <c r="N17" s="184"/>
      <c r="O17" s="36"/>
    </row>
    <row r="18" spans="1:15" x14ac:dyDescent="0.2">
      <c r="A18" s="130">
        <v>45029</v>
      </c>
      <c r="B18" s="112"/>
      <c r="C18" s="189"/>
      <c r="D18" s="51">
        <v>15.01</v>
      </c>
      <c r="E18" s="52">
        <v>3.290509259259259E-2</v>
      </c>
      <c r="F18" s="149">
        <v>19.02</v>
      </c>
      <c r="G18" s="312">
        <v>202</v>
      </c>
      <c r="H18" s="322"/>
      <c r="I18" s="326"/>
      <c r="J18" s="261"/>
      <c r="N18" s="185"/>
      <c r="O18" s="36"/>
    </row>
    <row r="19" spans="1:15" x14ac:dyDescent="0.2">
      <c r="A19" s="130">
        <v>45036</v>
      </c>
      <c r="B19" s="112"/>
      <c r="C19" s="189"/>
      <c r="D19" s="51">
        <v>23.86</v>
      </c>
      <c r="E19" s="52">
        <v>4.6655092592592595E-2</v>
      </c>
      <c r="F19" s="149">
        <v>21.3</v>
      </c>
      <c r="G19" s="312">
        <v>246</v>
      </c>
      <c r="H19" s="322"/>
      <c r="I19" s="260"/>
      <c r="J19" s="261"/>
      <c r="N19" s="36"/>
      <c r="O19" s="36"/>
    </row>
    <row r="20" spans="1:15" x14ac:dyDescent="0.2">
      <c r="A20" s="130">
        <v>45038</v>
      </c>
      <c r="B20" s="112"/>
      <c r="C20" s="189"/>
      <c r="D20" s="51">
        <v>26.34</v>
      </c>
      <c r="E20" s="52">
        <v>9.869212962962963E-2</v>
      </c>
      <c r="F20" s="149">
        <v>11.12</v>
      </c>
      <c r="G20" s="312">
        <v>114</v>
      </c>
      <c r="H20" s="322" t="s">
        <v>244</v>
      </c>
      <c r="I20" s="260"/>
      <c r="J20" s="261"/>
      <c r="N20" s="36"/>
      <c r="O20" s="36"/>
    </row>
    <row r="21" spans="1:15" ht="15" x14ac:dyDescent="0.2">
      <c r="A21" s="130">
        <v>45046</v>
      </c>
      <c r="B21" s="112"/>
      <c r="C21" s="189"/>
      <c r="D21" s="51">
        <v>55.98</v>
      </c>
      <c r="E21" s="52">
        <v>0.12265046296296296</v>
      </c>
      <c r="F21" s="149">
        <v>19.02</v>
      </c>
      <c r="G21" s="312">
        <v>690</v>
      </c>
      <c r="H21" s="322"/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45047</v>
      </c>
      <c r="B22" s="112"/>
      <c r="C22" s="189"/>
      <c r="D22" s="51">
        <v>10.42</v>
      </c>
      <c r="E22" s="52">
        <v>5.0474537037037033E-2</v>
      </c>
      <c r="F22" s="149">
        <v>8.6</v>
      </c>
      <c r="G22" s="312">
        <v>99</v>
      </c>
      <c r="H22" s="322" t="s">
        <v>244</v>
      </c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45050</v>
      </c>
      <c r="B23" s="112"/>
      <c r="C23" s="189"/>
      <c r="D23" s="51">
        <v>29.32</v>
      </c>
      <c r="E23" s="52">
        <v>5.8611111111111114E-2</v>
      </c>
      <c r="F23" s="149">
        <v>20.84</v>
      </c>
      <c r="G23" s="312">
        <v>371</v>
      </c>
      <c r="H23" s="322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45051</v>
      </c>
      <c r="B24" s="112"/>
      <c r="C24" s="189"/>
      <c r="D24" s="51">
        <v>12.58</v>
      </c>
      <c r="E24" s="52">
        <v>2.6990740740740742E-2</v>
      </c>
      <c r="F24" s="149">
        <v>19.420000000000002</v>
      </c>
      <c r="G24" s="312">
        <v>139</v>
      </c>
      <c r="H24" s="322"/>
      <c r="I24" s="330"/>
      <c r="J24" s="329"/>
      <c r="K24" s="97"/>
      <c r="O24" s="97"/>
    </row>
    <row r="25" spans="1:15" x14ac:dyDescent="0.2">
      <c r="A25" s="130">
        <v>45055</v>
      </c>
      <c r="B25" s="112"/>
      <c r="C25" s="189"/>
      <c r="D25" s="51">
        <v>49</v>
      </c>
      <c r="E25" s="52">
        <v>0.10990740740740741</v>
      </c>
      <c r="F25" s="149">
        <v>18.57</v>
      </c>
      <c r="G25" s="312">
        <v>556</v>
      </c>
      <c r="H25" s="322"/>
      <c r="I25" s="325"/>
      <c r="J25" s="329" t="s">
        <v>220</v>
      </c>
      <c r="K25" s="97"/>
      <c r="O25" s="97"/>
    </row>
    <row r="26" spans="1:15" x14ac:dyDescent="0.2">
      <c r="A26" s="130">
        <v>45057</v>
      </c>
      <c r="B26" s="112"/>
      <c r="C26" s="189"/>
      <c r="D26" s="51">
        <v>18.46</v>
      </c>
      <c r="E26" s="52">
        <v>3.6423611111111115E-2</v>
      </c>
      <c r="F26" s="149">
        <v>21.12</v>
      </c>
      <c r="G26" s="312">
        <v>211</v>
      </c>
      <c r="H26" s="322"/>
      <c r="I26" s="260"/>
      <c r="J26" s="329"/>
      <c r="K26" s="97"/>
      <c r="L26" s="97"/>
      <c r="N26" s="97"/>
      <c r="O26" s="97"/>
    </row>
    <row r="27" spans="1:15" x14ac:dyDescent="0.2">
      <c r="A27" s="130">
        <v>45062</v>
      </c>
      <c r="B27" s="112"/>
      <c r="C27" s="189"/>
      <c r="D27" s="51">
        <v>19.41</v>
      </c>
      <c r="E27" s="52">
        <v>3.9282407407407412E-2</v>
      </c>
      <c r="F27" s="149">
        <v>20.59</v>
      </c>
      <c r="G27" s="312">
        <v>244</v>
      </c>
      <c r="H27" s="322"/>
      <c r="I27" s="331"/>
      <c r="J27" s="329"/>
      <c r="K27" s="97"/>
      <c r="L27" s="97"/>
      <c r="N27" s="97"/>
      <c r="O27" s="97"/>
    </row>
    <row r="28" spans="1:15" x14ac:dyDescent="0.2">
      <c r="A28" s="130">
        <v>45063</v>
      </c>
      <c r="B28" s="112"/>
      <c r="C28" s="189"/>
      <c r="D28" s="51">
        <v>23.69</v>
      </c>
      <c r="E28" s="52">
        <v>4.6956018518518522E-2</v>
      </c>
      <c r="F28" s="149">
        <v>21.02</v>
      </c>
      <c r="G28" s="312">
        <v>237</v>
      </c>
      <c r="H28" s="322"/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45068</v>
      </c>
      <c r="B29" s="112"/>
      <c r="C29" s="189"/>
      <c r="D29" s="51">
        <v>43.49</v>
      </c>
      <c r="E29" s="52">
        <v>9.1331018518518506E-2</v>
      </c>
      <c r="F29" s="149">
        <v>19.84</v>
      </c>
      <c r="G29" s="312">
        <v>389</v>
      </c>
      <c r="H29" s="322"/>
      <c r="I29" s="332"/>
      <c r="J29" s="264"/>
      <c r="K29" s="97"/>
      <c r="O29" s="97"/>
    </row>
    <row r="30" spans="1:15" x14ac:dyDescent="0.2">
      <c r="A30" s="130">
        <v>45069</v>
      </c>
      <c r="B30" s="112"/>
      <c r="C30" s="189"/>
      <c r="D30" s="51">
        <v>27.47</v>
      </c>
      <c r="E30" s="52">
        <v>5.5648148148148148E-2</v>
      </c>
      <c r="F30" s="149">
        <v>20.57</v>
      </c>
      <c r="G30" s="312">
        <v>322</v>
      </c>
      <c r="H30" s="316"/>
      <c r="I30" s="97"/>
      <c r="K30" s="97"/>
      <c r="O30" s="97"/>
    </row>
    <row r="31" spans="1:15" x14ac:dyDescent="0.2">
      <c r="A31" s="130">
        <v>45071</v>
      </c>
      <c r="B31" s="112"/>
      <c r="C31" s="189"/>
      <c r="D31" s="51">
        <v>37.19</v>
      </c>
      <c r="E31" s="52">
        <v>7.2835648148148149E-2</v>
      </c>
      <c r="F31" s="149">
        <v>21.27</v>
      </c>
      <c r="G31" s="312">
        <v>460</v>
      </c>
      <c r="H31" s="317"/>
      <c r="I31" s="97"/>
      <c r="J31" s="97"/>
      <c r="K31" s="97"/>
      <c r="L31" s="97"/>
      <c r="N31" s="97"/>
      <c r="O31" s="97"/>
    </row>
    <row r="32" spans="1:15" x14ac:dyDescent="0.2">
      <c r="A32" s="130">
        <v>45074</v>
      </c>
      <c r="B32" s="112"/>
      <c r="C32" s="189"/>
      <c r="D32" s="51">
        <v>37.299999999999997</v>
      </c>
      <c r="E32" s="52">
        <v>8.0312499999999995E-2</v>
      </c>
      <c r="F32" s="149">
        <v>19.350000000000001</v>
      </c>
      <c r="G32" s="312">
        <v>513</v>
      </c>
      <c r="H32" s="15"/>
      <c r="N32" s="36"/>
      <c r="O32" s="184"/>
    </row>
    <row r="33" spans="1:17" x14ac:dyDescent="0.2">
      <c r="A33" s="130">
        <v>45076</v>
      </c>
      <c r="B33" s="112"/>
      <c r="C33" s="189"/>
      <c r="D33" s="51">
        <v>37.46</v>
      </c>
      <c r="E33" s="52">
        <v>7.256944444444445E-2</v>
      </c>
      <c r="F33" s="149">
        <v>21.51</v>
      </c>
      <c r="G33" s="312">
        <v>419</v>
      </c>
      <c r="H33" s="317"/>
      <c r="N33" s="36"/>
      <c r="O33" s="185"/>
    </row>
    <row r="34" spans="1:17" ht="12.75" customHeight="1" x14ac:dyDescent="0.2">
      <c r="A34" s="130">
        <v>45077</v>
      </c>
      <c r="B34" s="112"/>
      <c r="C34" s="189"/>
      <c r="D34" s="51">
        <v>27.62</v>
      </c>
      <c r="E34" s="52">
        <v>5.4120370370370374E-2</v>
      </c>
      <c r="F34" s="149">
        <v>21.26</v>
      </c>
      <c r="G34" s="312">
        <v>336</v>
      </c>
      <c r="H34" s="317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45078</v>
      </c>
      <c r="B35" s="112"/>
      <c r="C35" s="189"/>
      <c r="D35" s="51">
        <v>28.41</v>
      </c>
      <c r="E35" s="52">
        <v>5.8703703703703702E-2</v>
      </c>
      <c r="F35" s="149">
        <v>20.16</v>
      </c>
      <c r="G35" s="312">
        <v>286</v>
      </c>
      <c r="H35" s="15"/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45082</v>
      </c>
      <c r="B36" s="112"/>
      <c r="C36" s="189"/>
      <c r="D36" s="51">
        <v>20</v>
      </c>
      <c r="E36" s="52">
        <v>3.8703703703703705E-2</v>
      </c>
      <c r="F36" s="149">
        <v>21.53</v>
      </c>
      <c r="G36" s="312">
        <v>224</v>
      </c>
      <c r="H36" s="317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45084</v>
      </c>
      <c r="B37" s="112"/>
      <c r="C37" s="189"/>
      <c r="D37" s="51">
        <v>4.17</v>
      </c>
      <c r="E37" s="52">
        <v>1.2106481481481482E-2</v>
      </c>
      <c r="F37" s="149">
        <v>14.37</v>
      </c>
      <c r="G37" s="312">
        <v>85</v>
      </c>
      <c r="H37" s="316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45085</v>
      </c>
      <c r="B38" s="112"/>
      <c r="C38" s="189"/>
      <c r="D38" s="51">
        <v>32.049999999999997</v>
      </c>
      <c r="E38" s="52">
        <v>7.0393518518518508E-2</v>
      </c>
      <c r="F38" s="149">
        <v>18.97</v>
      </c>
      <c r="G38" s="312">
        <v>404</v>
      </c>
      <c r="H38" s="316"/>
      <c r="I38" s="97"/>
      <c r="J38" s="97"/>
      <c r="K38" s="36"/>
      <c r="L38" s="36"/>
      <c r="M38" s="36"/>
      <c r="N38" s="36"/>
      <c r="O38" s="36"/>
      <c r="P38" s="36"/>
      <c r="Q38" s="36"/>
    </row>
    <row r="39" spans="1:17" ht="14.25" x14ac:dyDescent="0.2">
      <c r="A39" s="131">
        <v>45087</v>
      </c>
      <c r="B39" s="67" t="s">
        <v>299</v>
      </c>
      <c r="C39" s="347" t="s">
        <v>300</v>
      </c>
      <c r="D39" s="67">
        <v>69.23</v>
      </c>
      <c r="E39" s="68">
        <v>0.18554398148148146</v>
      </c>
      <c r="F39" s="150">
        <v>15.5</v>
      </c>
      <c r="G39" s="69">
        <v>1643</v>
      </c>
      <c r="H39" s="316"/>
      <c r="I39" s="97"/>
      <c r="J39" s="97"/>
    </row>
    <row r="40" spans="1:17" x14ac:dyDescent="0.2">
      <c r="A40" s="130">
        <v>45088</v>
      </c>
      <c r="B40" s="112"/>
      <c r="C40" s="189"/>
      <c r="D40" s="51">
        <v>26.05</v>
      </c>
      <c r="E40" s="52">
        <v>7.9409722222222215E-2</v>
      </c>
      <c r="F40" s="149">
        <v>13.66</v>
      </c>
      <c r="G40" s="312">
        <v>574</v>
      </c>
      <c r="H40" s="316"/>
      <c r="I40" s="97"/>
      <c r="J40" s="97"/>
    </row>
    <row r="41" spans="1:17" x14ac:dyDescent="0.2">
      <c r="A41" s="130">
        <v>45089</v>
      </c>
      <c r="B41" s="112"/>
      <c r="C41" s="189"/>
      <c r="D41" s="51">
        <v>23.76</v>
      </c>
      <c r="E41" s="52">
        <v>4.5347222222222226E-2</v>
      </c>
      <c r="F41" s="149">
        <v>21.83</v>
      </c>
      <c r="G41" s="312">
        <v>233</v>
      </c>
      <c r="H41" s="316"/>
      <c r="I41" s="97"/>
      <c r="J41" s="97"/>
    </row>
    <row r="42" spans="1:17" x14ac:dyDescent="0.2">
      <c r="A42" s="130">
        <v>45094</v>
      </c>
      <c r="B42" s="112"/>
      <c r="C42" s="189"/>
      <c r="D42" s="51">
        <v>14.28</v>
      </c>
      <c r="E42" s="52">
        <v>7.1747685185185192E-2</v>
      </c>
      <c r="F42" s="149">
        <v>8.2899999999999991</v>
      </c>
      <c r="G42" s="312">
        <v>140</v>
      </c>
      <c r="H42" s="316" t="s">
        <v>244</v>
      </c>
      <c r="I42" s="97"/>
      <c r="J42" s="97"/>
    </row>
    <row r="43" spans="1:17" x14ac:dyDescent="0.2">
      <c r="A43" s="130">
        <v>45094</v>
      </c>
      <c r="B43" s="112"/>
      <c r="C43" s="189"/>
      <c r="D43" s="51">
        <v>34.299999999999997</v>
      </c>
      <c r="E43" s="52">
        <v>6.4780092592592597E-2</v>
      </c>
      <c r="F43" s="149">
        <v>22.06</v>
      </c>
      <c r="G43" s="312">
        <v>374</v>
      </c>
      <c r="H43" s="316"/>
      <c r="I43" s="97"/>
      <c r="J43" s="97"/>
    </row>
    <row r="44" spans="1:17" x14ac:dyDescent="0.2">
      <c r="A44" s="130">
        <v>45095</v>
      </c>
      <c r="B44" s="112"/>
      <c r="C44" s="189"/>
      <c r="D44" s="51">
        <v>22.45</v>
      </c>
      <c r="E44" s="52">
        <v>9.5405092592592597E-2</v>
      </c>
      <c r="F44" s="149">
        <v>9.8000000000000007</v>
      </c>
      <c r="G44" s="312">
        <v>150</v>
      </c>
      <c r="H44" s="316" t="s">
        <v>244</v>
      </c>
      <c r="I44" s="97"/>
      <c r="J44" s="97"/>
    </row>
    <row r="45" spans="1:17" x14ac:dyDescent="0.2">
      <c r="A45" s="130">
        <v>45105</v>
      </c>
      <c r="B45" s="112"/>
      <c r="C45" s="189"/>
      <c r="D45" s="51">
        <v>23.96</v>
      </c>
      <c r="E45" s="52">
        <v>4.4363425925925924E-2</v>
      </c>
      <c r="F45" s="149">
        <v>22.5</v>
      </c>
      <c r="G45" s="312">
        <v>239</v>
      </c>
      <c r="H45" s="316"/>
      <c r="I45" s="97"/>
      <c r="J45" s="97"/>
    </row>
    <row r="46" spans="1:17" x14ac:dyDescent="0.2">
      <c r="A46" s="130">
        <v>45106</v>
      </c>
      <c r="B46" s="112"/>
      <c r="C46" s="189"/>
      <c r="D46" s="51">
        <v>44.78</v>
      </c>
      <c r="E46" s="52">
        <v>9.3495370370370368E-2</v>
      </c>
      <c r="F46" s="149">
        <v>19.239999999999998</v>
      </c>
      <c r="G46" s="312">
        <v>564</v>
      </c>
      <c r="H46" s="316"/>
      <c r="I46" s="97"/>
      <c r="J46" s="97"/>
    </row>
    <row r="47" spans="1:17" x14ac:dyDescent="0.2">
      <c r="A47" s="339">
        <v>45111</v>
      </c>
      <c r="B47" s="593" t="s">
        <v>301</v>
      </c>
      <c r="C47" s="598"/>
      <c r="D47" s="340">
        <v>29.44</v>
      </c>
      <c r="E47" s="341">
        <v>7.7141203703703712E-2</v>
      </c>
      <c r="F47" s="342">
        <v>15.9</v>
      </c>
      <c r="G47" s="343">
        <v>219</v>
      </c>
      <c r="H47" s="344"/>
      <c r="I47" s="97"/>
      <c r="J47" s="97"/>
    </row>
    <row r="48" spans="1:17" x14ac:dyDescent="0.2">
      <c r="A48" s="339">
        <v>45112</v>
      </c>
      <c r="B48" s="594"/>
      <c r="C48" s="599"/>
      <c r="D48" s="340">
        <v>84.71</v>
      </c>
      <c r="E48" s="341">
        <v>0.2215162037037037</v>
      </c>
      <c r="F48" s="342">
        <v>15.93</v>
      </c>
      <c r="G48" s="343">
        <v>812</v>
      </c>
      <c r="H48" s="344"/>
      <c r="I48" s="97"/>
      <c r="J48" s="97"/>
    </row>
    <row r="49" spans="1:14" ht="15" x14ac:dyDescent="0.2">
      <c r="A49" s="339">
        <v>45113</v>
      </c>
      <c r="B49" s="594"/>
      <c r="C49" s="599"/>
      <c r="D49" s="340">
        <v>78.92</v>
      </c>
      <c r="E49" s="341">
        <v>0.25113425925925925</v>
      </c>
      <c r="F49" s="342">
        <v>13.09</v>
      </c>
      <c r="G49" s="343">
        <v>1808</v>
      </c>
      <c r="H49" s="344"/>
      <c r="I49" s="96"/>
      <c r="J49" s="97"/>
    </row>
    <row r="50" spans="1:14" x14ac:dyDescent="0.2">
      <c r="A50" s="339">
        <v>45114</v>
      </c>
      <c r="B50" s="594"/>
      <c r="C50" s="599"/>
      <c r="D50" s="340">
        <v>99.95</v>
      </c>
      <c r="E50" s="341">
        <v>0.26953703703703702</v>
      </c>
      <c r="F50" s="342">
        <v>15.45</v>
      </c>
      <c r="G50" s="343">
        <v>1699</v>
      </c>
      <c r="H50" s="344"/>
      <c r="I50" s="97"/>
      <c r="J50" s="97"/>
    </row>
    <row r="51" spans="1:14" ht="15" x14ac:dyDescent="0.25">
      <c r="A51" s="339">
        <v>45115</v>
      </c>
      <c r="B51" s="600"/>
      <c r="C51" s="601"/>
      <c r="D51" s="340">
        <v>72.89</v>
      </c>
      <c r="E51" s="341">
        <v>0.18121527777777779</v>
      </c>
      <c r="F51" s="342">
        <v>16.760000000000002</v>
      </c>
      <c r="G51" s="343">
        <v>747</v>
      </c>
      <c r="H51" s="345"/>
      <c r="I51" s="97"/>
      <c r="J51" s="97"/>
    </row>
    <row r="52" spans="1:14" x14ac:dyDescent="0.2">
      <c r="A52" s="130">
        <v>45134</v>
      </c>
      <c r="B52" s="112"/>
      <c r="C52" s="189"/>
      <c r="D52" s="51">
        <v>19.27</v>
      </c>
      <c r="E52" s="52">
        <v>3.7916666666666668E-2</v>
      </c>
      <c r="F52" s="149">
        <v>21.17</v>
      </c>
      <c r="G52" s="312">
        <v>252</v>
      </c>
      <c r="H52" s="316"/>
      <c r="I52" s="97"/>
      <c r="J52" s="97"/>
    </row>
    <row r="53" spans="1:14" x14ac:dyDescent="0.2">
      <c r="A53" s="130">
        <v>45140</v>
      </c>
      <c r="B53" s="112"/>
      <c r="C53" s="189"/>
      <c r="D53" s="51">
        <v>25.31</v>
      </c>
      <c r="E53" s="52">
        <v>5.063657407407407E-2</v>
      </c>
      <c r="F53" s="149">
        <v>20.83</v>
      </c>
      <c r="G53" s="312">
        <v>318</v>
      </c>
      <c r="H53" s="316"/>
      <c r="I53" s="97"/>
      <c r="J53" s="98"/>
    </row>
    <row r="54" spans="1:14" ht="12.75" customHeight="1" x14ac:dyDescent="0.2">
      <c r="A54" s="130">
        <v>45141</v>
      </c>
      <c r="B54" s="112"/>
      <c r="C54" s="189"/>
      <c r="D54" s="51">
        <v>16.239999999999998</v>
      </c>
      <c r="E54" s="52">
        <v>3.2731481481481479E-2</v>
      </c>
      <c r="F54" s="149">
        <v>20.67</v>
      </c>
      <c r="G54" s="312">
        <v>195</v>
      </c>
      <c r="H54" s="316"/>
      <c r="I54" s="97"/>
      <c r="J54" s="97"/>
      <c r="N54" s="13"/>
    </row>
    <row r="55" spans="1:14" ht="15" x14ac:dyDescent="0.2">
      <c r="A55" s="130">
        <v>45141</v>
      </c>
      <c r="B55" s="112"/>
      <c r="C55" s="189"/>
      <c r="D55" s="51">
        <v>8.6999999999999993</v>
      </c>
      <c r="E55" s="52">
        <v>3.8263888888888889E-2</v>
      </c>
      <c r="F55" s="149">
        <v>9.4700000000000006</v>
      </c>
      <c r="G55" s="312">
        <v>124</v>
      </c>
      <c r="H55" s="316" t="s">
        <v>244</v>
      </c>
      <c r="I55" s="96"/>
      <c r="J55" s="249"/>
    </row>
    <row r="56" spans="1:14" ht="12.75" customHeight="1" x14ac:dyDescent="0.2">
      <c r="A56" s="130">
        <v>45142</v>
      </c>
      <c r="B56" s="112"/>
      <c r="C56" s="189"/>
      <c r="D56" s="51">
        <v>34.42</v>
      </c>
      <c r="E56" s="52">
        <v>6.8622685185185189E-2</v>
      </c>
      <c r="F56" s="149">
        <v>20.9</v>
      </c>
      <c r="G56" s="312">
        <v>443</v>
      </c>
      <c r="H56" s="316"/>
      <c r="I56" s="97"/>
    </row>
    <row r="57" spans="1:14" x14ac:dyDescent="0.2">
      <c r="A57" s="130">
        <v>45148</v>
      </c>
      <c r="B57" s="112"/>
      <c r="C57" s="189"/>
      <c r="D57" s="51">
        <v>24.38</v>
      </c>
      <c r="E57" s="52">
        <v>4.7037037037037037E-2</v>
      </c>
      <c r="F57" s="149">
        <v>21.59</v>
      </c>
      <c r="G57" s="312">
        <v>239</v>
      </c>
      <c r="H57" s="316"/>
      <c r="I57" s="97"/>
    </row>
    <row r="58" spans="1:14" x14ac:dyDescent="0.2">
      <c r="A58" s="130">
        <v>45148</v>
      </c>
      <c r="B58" s="112"/>
      <c r="C58" s="189"/>
      <c r="D58" s="51">
        <v>19.41</v>
      </c>
      <c r="E58" s="52">
        <v>3.7164351851851851E-2</v>
      </c>
      <c r="F58" s="149">
        <v>21.76</v>
      </c>
      <c r="G58" s="312">
        <v>233</v>
      </c>
      <c r="H58" s="316"/>
      <c r="I58" s="100"/>
    </row>
    <row r="59" spans="1:14" x14ac:dyDescent="0.2">
      <c r="A59" s="130">
        <v>45150</v>
      </c>
      <c r="B59" s="112"/>
      <c r="C59" s="189"/>
      <c r="D59" s="51">
        <v>71.8</v>
      </c>
      <c r="E59" s="52">
        <v>0.14443287037037036</v>
      </c>
      <c r="F59" s="149">
        <v>20.57</v>
      </c>
      <c r="G59" s="312">
        <v>690</v>
      </c>
      <c r="H59" s="316"/>
      <c r="I59" s="97"/>
      <c r="J59" s="97"/>
    </row>
    <row r="60" spans="1:14" ht="12.75" customHeight="1" x14ac:dyDescent="0.2">
      <c r="A60" s="130">
        <v>45150</v>
      </c>
      <c r="B60" s="112"/>
      <c r="C60" s="189"/>
      <c r="D60" s="51">
        <v>5.65</v>
      </c>
      <c r="E60" s="52">
        <v>1.9143518518518518E-2</v>
      </c>
      <c r="F60" s="149">
        <v>12.31</v>
      </c>
      <c r="G60" s="312">
        <v>39</v>
      </c>
      <c r="H60" s="316" t="s">
        <v>244</v>
      </c>
      <c r="I60" s="97"/>
      <c r="J60" s="134"/>
    </row>
    <row r="61" spans="1:14" x14ac:dyDescent="0.2">
      <c r="A61" s="130">
        <v>45151</v>
      </c>
      <c r="B61" s="112"/>
      <c r="C61" s="189"/>
      <c r="D61" s="51">
        <v>7.98</v>
      </c>
      <c r="E61" s="52">
        <v>2.8715277777777781E-2</v>
      </c>
      <c r="F61" s="149">
        <v>11.59</v>
      </c>
      <c r="G61" s="312">
        <v>112</v>
      </c>
      <c r="H61" s="316" t="s">
        <v>244</v>
      </c>
      <c r="I61" s="97"/>
      <c r="J61" s="97"/>
    </row>
    <row r="62" spans="1:14" x14ac:dyDescent="0.2">
      <c r="A62" s="130">
        <v>45152</v>
      </c>
      <c r="B62" s="112"/>
      <c r="C62" s="189"/>
      <c r="D62" s="51">
        <v>62.21</v>
      </c>
      <c r="E62" s="52">
        <v>0.11079861111111111</v>
      </c>
      <c r="F62" s="149">
        <v>23.39</v>
      </c>
      <c r="G62" s="312">
        <v>347</v>
      </c>
      <c r="H62" s="316"/>
      <c r="J62" s="97"/>
    </row>
    <row r="63" spans="1:14" x14ac:dyDescent="0.2">
      <c r="A63" s="130">
        <v>45154</v>
      </c>
      <c r="B63" s="112"/>
      <c r="C63" s="189"/>
      <c r="D63" s="51">
        <v>18.850000000000001</v>
      </c>
      <c r="E63" s="52">
        <v>4.5405092592592594E-2</v>
      </c>
      <c r="F63" s="149">
        <v>17.3</v>
      </c>
      <c r="G63" s="312">
        <v>209</v>
      </c>
      <c r="H63" s="316"/>
      <c r="I63" s="97"/>
      <c r="J63" s="97"/>
    </row>
    <row r="64" spans="1:14" x14ac:dyDescent="0.2">
      <c r="A64" s="12">
        <v>45155</v>
      </c>
      <c r="C64" s="189"/>
      <c r="D64" s="289">
        <v>28.89</v>
      </c>
      <c r="E64" s="52">
        <v>5.769675925925926E-2</v>
      </c>
      <c r="F64" s="290">
        <v>20.9</v>
      </c>
      <c r="G64" s="348">
        <v>250</v>
      </c>
      <c r="H64" s="319"/>
      <c r="I64" s="97"/>
      <c r="J64" s="134"/>
    </row>
    <row r="65" spans="1:10" x14ac:dyDescent="0.2">
      <c r="A65" s="130">
        <v>45156</v>
      </c>
      <c r="B65" s="112"/>
      <c r="C65" s="189"/>
      <c r="D65" s="51">
        <v>18.149999999999999</v>
      </c>
      <c r="E65" s="52">
        <v>3.5057870370370371E-2</v>
      </c>
      <c r="F65" s="149">
        <v>21.6</v>
      </c>
      <c r="G65" s="312">
        <v>180</v>
      </c>
      <c r="H65" s="316"/>
      <c r="I65" s="97"/>
      <c r="J65" s="97"/>
    </row>
    <row r="66" spans="1:10" x14ac:dyDescent="0.2">
      <c r="A66" s="130">
        <v>45160</v>
      </c>
      <c r="B66" s="112"/>
      <c r="C66" s="189"/>
      <c r="D66" s="51">
        <v>19.09</v>
      </c>
      <c r="E66" s="52">
        <v>7.2430555555555554E-2</v>
      </c>
      <c r="F66" s="149">
        <v>11</v>
      </c>
      <c r="G66" s="312">
        <v>318</v>
      </c>
      <c r="H66" s="316" t="s">
        <v>244</v>
      </c>
      <c r="I66" s="97"/>
      <c r="J66" s="97"/>
    </row>
    <row r="67" spans="1:10" x14ac:dyDescent="0.2">
      <c r="A67" s="130">
        <v>45169</v>
      </c>
      <c r="B67" s="112"/>
      <c r="C67" s="189"/>
      <c r="D67" s="51">
        <v>67.53</v>
      </c>
      <c r="E67" s="52">
        <v>0.14173611111111112</v>
      </c>
      <c r="F67" s="149">
        <v>19.850000000000001</v>
      </c>
      <c r="G67" s="312">
        <v>758</v>
      </c>
      <c r="H67" s="316"/>
      <c r="I67" s="97"/>
      <c r="J67" s="97"/>
    </row>
    <row r="68" spans="1:10" x14ac:dyDescent="0.2">
      <c r="A68" s="130">
        <v>45173</v>
      </c>
      <c r="B68" s="112"/>
      <c r="C68" s="189"/>
      <c r="D68" s="51">
        <v>24.06</v>
      </c>
      <c r="E68" s="52">
        <v>4.3159722222222224E-2</v>
      </c>
      <c r="F68" s="149">
        <v>23.23</v>
      </c>
      <c r="G68" s="312">
        <v>234</v>
      </c>
      <c r="H68" s="316"/>
      <c r="I68" s="97"/>
      <c r="J68" s="97"/>
    </row>
    <row r="69" spans="1:10" x14ac:dyDescent="0.2">
      <c r="A69" s="130">
        <v>45175</v>
      </c>
      <c r="B69" s="112"/>
      <c r="C69" s="189"/>
      <c r="D69" s="51">
        <v>23.89</v>
      </c>
      <c r="E69" s="52">
        <v>4.4432870370370366E-2</v>
      </c>
      <c r="F69" s="149">
        <v>22.4</v>
      </c>
      <c r="G69" s="312">
        <v>236</v>
      </c>
      <c r="H69" s="316"/>
    </row>
    <row r="70" spans="1:10" x14ac:dyDescent="0.2">
      <c r="A70" s="130">
        <v>45175</v>
      </c>
      <c r="B70" s="112"/>
      <c r="C70" s="189"/>
      <c r="D70" s="51">
        <v>12.99</v>
      </c>
      <c r="E70" s="52">
        <v>5.4409722222222227E-2</v>
      </c>
      <c r="F70" s="149">
        <v>9.94</v>
      </c>
      <c r="G70" s="312">
        <v>186</v>
      </c>
      <c r="H70" s="316" t="s">
        <v>244</v>
      </c>
    </row>
    <row r="71" spans="1:10" x14ac:dyDescent="0.2">
      <c r="A71" s="130">
        <v>45176</v>
      </c>
      <c r="B71" s="112"/>
      <c r="C71" s="189"/>
      <c r="D71" s="51">
        <v>19.61</v>
      </c>
      <c r="E71" s="52">
        <v>3.7199074074074072E-2</v>
      </c>
      <c r="F71" s="149">
        <v>21.96</v>
      </c>
      <c r="G71" s="312">
        <v>245</v>
      </c>
      <c r="H71" s="316"/>
    </row>
    <row r="72" spans="1:10" x14ac:dyDescent="0.2">
      <c r="A72" s="130">
        <v>45180</v>
      </c>
      <c r="B72" s="112"/>
      <c r="C72" s="189"/>
      <c r="D72" s="51">
        <v>39.54</v>
      </c>
      <c r="E72" s="52">
        <v>7.7754629629629632E-2</v>
      </c>
      <c r="F72" s="149">
        <v>21.19</v>
      </c>
      <c r="G72" s="312">
        <v>346</v>
      </c>
      <c r="H72" s="316"/>
    </row>
    <row r="73" spans="1:10" x14ac:dyDescent="0.2">
      <c r="A73" s="130">
        <v>45181</v>
      </c>
      <c r="B73" s="112"/>
      <c r="C73" s="189"/>
      <c r="D73" s="51">
        <v>18.7</v>
      </c>
      <c r="E73" s="52">
        <v>3.6458333333333336E-2</v>
      </c>
      <c r="F73" s="149">
        <v>21.38</v>
      </c>
      <c r="G73" s="312">
        <v>211</v>
      </c>
      <c r="H73" s="316"/>
      <c r="I73" s="33"/>
    </row>
    <row r="74" spans="1:10" x14ac:dyDescent="0.2">
      <c r="A74" s="130">
        <v>45181</v>
      </c>
      <c r="B74" s="112"/>
      <c r="C74" s="189"/>
      <c r="D74" s="51">
        <v>12.31</v>
      </c>
      <c r="E74" s="52">
        <v>4.9999999999999996E-2</v>
      </c>
      <c r="F74" s="149">
        <v>10.26</v>
      </c>
      <c r="G74" s="312">
        <v>210</v>
      </c>
      <c r="H74" s="316" t="s">
        <v>244</v>
      </c>
    </row>
    <row r="75" spans="1:10" x14ac:dyDescent="0.2">
      <c r="A75" s="130">
        <v>45183</v>
      </c>
      <c r="B75" s="112"/>
      <c r="C75" s="189"/>
      <c r="D75" s="51">
        <v>21.62</v>
      </c>
      <c r="E75" s="52">
        <v>8.2650462962962967E-2</v>
      </c>
      <c r="F75" s="149">
        <v>10.9</v>
      </c>
      <c r="G75" s="312">
        <v>69</v>
      </c>
      <c r="H75" s="316" t="s">
        <v>244</v>
      </c>
    </row>
    <row r="76" spans="1:10" x14ac:dyDescent="0.2">
      <c r="A76" s="130">
        <v>45184</v>
      </c>
      <c r="B76" s="112"/>
      <c r="C76" s="189"/>
      <c r="D76" s="51">
        <v>29.62</v>
      </c>
      <c r="E76" s="52">
        <v>0.1190625</v>
      </c>
      <c r="F76" s="149">
        <v>10.39</v>
      </c>
      <c r="G76" s="312">
        <v>168</v>
      </c>
      <c r="H76" s="316" t="s">
        <v>244</v>
      </c>
    </row>
    <row r="77" spans="1:10" x14ac:dyDescent="0.2">
      <c r="A77" s="130">
        <v>45185</v>
      </c>
      <c r="B77" s="112"/>
      <c r="C77" s="189"/>
      <c r="D77" s="51">
        <v>37.1</v>
      </c>
      <c r="E77" s="52">
        <v>0.12322916666666667</v>
      </c>
      <c r="F77" s="149">
        <v>12.57</v>
      </c>
      <c r="G77" s="312">
        <v>132</v>
      </c>
      <c r="H77" s="316" t="s">
        <v>244</v>
      </c>
    </row>
    <row r="78" spans="1:10" x14ac:dyDescent="0.2">
      <c r="A78" s="130">
        <v>45187</v>
      </c>
      <c r="B78" s="112"/>
      <c r="C78" s="189"/>
      <c r="D78" s="51">
        <v>15.6</v>
      </c>
      <c r="E78" s="52">
        <v>2.9155092592592594E-2</v>
      </c>
      <c r="F78" s="149">
        <v>22.29</v>
      </c>
      <c r="G78" s="312">
        <v>152</v>
      </c>
      <c r="H78" s="316"/>
    </row>
    <row r="79" spans="1:10" x14ac:dyDescent="0.2">
      <c r="A79" s="130">
        <v>45188</v>
      </c>
      <c r="B79" s="112"/>
      <c r="C79" s="189"/>
      <c r="D79" s="51">
        <v>21.79</v>
      </c>
      <c r="E79" s="52">
        <v>4.2430555555555555E-2</v>
      </c>
      <c r="F79" s="149">
        <v>21.4</v>
      </c>
      <c r="G79" s="312">
        <v>238</v>
      </c>
      <c r="H79" s="316"/>
    </row>
    <row r="80" spans="1:10" x14ac:dyDescent="0.2">
      <c r="A80" s="130">
        <v>45190</v>
      </c>
      <c r="B80" s="112"/>
      <c r="C80" s="189"/>
      <c r="D80" s="51">
        <v>48.14</v>
      </c>
      <c r="E80" s="52">
        <v>9.5694444444444457E-2</v>
      </c>
      <c r="F80" s="149">
        <v>20.96</v>
      </c>
      <c r="G80" s="312">
        <v>574</v>
      </c>
      <c r="H80" s="195"/>
    </row>
    <row r="81" spans="1:10" x14ac:dyDescent="0.2">
      <c r="A81" s="130">
        <v>45193</v>
      </c>
      <c r="B81" s="112"/>
      <c r="C81" s="189"/>
      <c r="D81" s="51">
        <v>30.42</v>
      </c>
      <c r="E81" s="52">
        <v>6.7256944444444453E-2</v>
      </c>
      <c r="F81" s="149">
        <v>18.84</v>
      </c>
      <c r="G81" s="312">
        <v>399</v>
      </c>
      <c r="H81" s="316"/>
    </row>
    <row r="82" spans="1:10" x14ac:dyDescent="0.2">
      <c r="A82" s="130">
        <v>45196</v>
      </c>
      <c r="B82" s="112"/>
      <c r="C82" s="189"/>
      <c r="D82" s="51">
        <v>28.26</v>
      </c>
      <c r="E82" s="52">
        <v>6.6388888888888886E-2</v>
      </c>
      <c r="F82" s="149">
        <v>17.73</v>
      </c>
      <c r="G82" s="312">
        <v>433</v>
      </c>
      <c r="H82" s="316"/>
    </row>
    <row r="83" spans="1:10" x14ac:dyDescent="0.2">
      <c r="A83" s="130">
        <v>45197</v>
      </c>
      <c r="B83" s="112"/>
      <c r="C83" s="189"/>
      <c r="D83" s="51">
        <v>37.28</v>
      </c>
      <c r="E83" s="52">
        <v>9.0138888888888893E-2</v>
      </c>
      <c r="F83" s="149">
        <v>17.23</v>
      </c>
      <c r="G83" s="312">
        <v>562</v>
      </c>
      <c r="H83" s="316"/>
    </row>
    <row r="84" spans="1:10" ht="12" customHeight="1" x14ac:dyDescent="0.2">
      <c r="A84" s="130">
        <v>45198</v>
      </c>
      <c r="B84" s="112"/>
      <c r="C84" s="189"/>
      <c r="D84" s="51">
        <v>15.61</v>
      </c>
      <c r="E84" s="52">
        <v>3.1481481481481485E-2</v>
      </c>
      <c r="F84" s="149">
        <v>20.67</v>
      </c>
      <c r="G84" s="312">
        <v>209</v>
      </c>
      <c r="H84" s="316"/>
    </row>
    <row r="85" spans="1:10" x14ac:dyDescent="0.2">
      <c r="A85" s="130">
        <v>45201</v>
      </c>
      <c r="B85" s="112"/>
      <c r="C85" s="189"/>
      <c r="D85" s="51">
        <v>18.309999999999999</v>
      </c>
      <c r="E85" s="52">
        <v>3.5717592592592592E-2</v>
      </c>
      <c r="F85" s="149">
        <v>21.36</v>
      </c>
      <c r="G85" s="312">
        <v>206</v>
      </c>
      <c r="H85" s="316"/>
    </row>
    <row r="86" spans="1:10" x14ac:dyDescent="0.2">
      <c r="A86" s="130">
        <v>45202</v>
      </c>
      <c r="B86" s="112"/>
      <c r="C86" s="189"/>
      <c r="D86" s="51">
        <v>14.84</v>
      </c>
      <c r="E86" s="52">
        <v>3.1041666666666665E-2</v>
      </c>
      <c r="F86" s="149">
        <v>19.93</v>
      </c>
      <c r="G86" s="312">
        <v>184</v>
      </c>
      <c r="H86" s="316"/>
    </row>
    <row r="87" spans="1:10" x14ac:dyDescent="0.2">
      <c r="A87" s="130">
        <v>45204</v>
      </c>
      <c r="B87" s="112"/>
      <c r="C87" s="189"/>
      <c r="D87" s="51">
        <v>18.350000000000001</v>
      </c>
      <c r="E87" s="52">
        <v>3.6655092592592593E-2</v>
      </c>
      <c r="F87" s="149">
        <v>20.85</v>
      </c>
      <c r="G87" s="312">
        <v>218</v>
      </c>
      <c r="H87" s="316"/>
    </row>
    <row r="88" spans="1:10" x14ac:dyDescent="0.2">
      <c r="A88" s="130">
        <v>45209</v>
      </c>
      <c r="B88" s="112"/>
      <c r="C88" s="189"/>
      <c r="D88" s="51">
        <v>23.63</v>
      </c>
      <c r="E88" s="52">
        <v>4.4641203703703704E-2</v>
      </c>
      <c r="F88" s="149">
        <v>22.06</v>
      </c>
      <c r="G88" s="312">
        <v>232</v>
      </c>
      <c r="H88" s="316"/>
    </row>
    <row r="89" spans="1:10" x14ac:dyDescent="0.2">
      <c r="A89" s="130">
        <v>45210</v>
      </c>
      <c r="B89" s="112"/>
      <c r="C89" s="189"/>
      <c r="D89" s="51">
        <v>28.62</v>
      </c>
      <c r="E89" s="52">
        <v>5.5092592592592589E-2</v>
      </c>
      <c r="F89" s="149">
        <v>21.64</v>
      </c>
      <c r="G89" s="312">
        <v>353</v>
      </c>
      <c r="H89" s="316"/>
    </row>
    <row r="90" spans="1:10" x14ac:dyDescent="0.2">
      <c r="A90" s="130">
        <v>45211</v>
      </c>
      <c r="B90" s="112"/>
      <c r="C90" s="189"/>
      <c r="D90" s="51">
        <v>24.1</v>
      </c>
      <c r="E90" s="52">
        <v>4.6805555555555552E-2</v>
      </c>
      <c r="F90" s="149">
        <v>21.45</v>
      </c>
      <c r="G90" s="312">
        <v>238</v>
      </c>
      <c r="H90" s="316"/>
    </row>
    <row r="91" spans="1:10" x14ac:dyDescent="0.2">
      <c r="A91" s="130">
        <v>45215</v>
      </c>
      <c r="B91" s="112"/>
      <c r="C91" s="189"/>
      <c r="D91" s="51">
        <v>23.87</v>
      </c>
      <c r="E91" s="52">
        <v>4.5983796296296293E-2</v>
      </c>
      <c r="F91" s="149">
        <v>21.63</v>
      </c>
      <c r="G91" s="312">
        <v>240</v>
      </c>
      <c r="H91" s="316"/>
    </row>
    <row r="92" spans="1:10" x14ac:dyDescent="0.2">
      <c r="A92" s="130">
        <v>45217</v>
      </c>
      <c r="B92" s="112"/>
      <c r="C92" s="189"/>
      <c r="D92" s="51">
        <v>18.440000000000001</v>
      </c>
      <c r="E92" s="52">
        <v>3.5729166666666666E-2</v>
      </c>
      <c r="F92" s="149">
        <v>21.51</v>
      </c>
      <c r="G92" s="312">
        <v>228</v>
      </c>
      <c r="H92" s="316"/>
    </row>
    <row r="93" spans="1:10" x14ac:dyDescent="0.2">
      <c r="A93" s="130">
        <v>45222</v>
      </c>
      <c r="B93" s="112"/>
      <c r="C93" s="189"/>
      <c r="D93" s="51">
        <v>18.98</v>
      </c>
      <c r="E93" s="52">
        <v>3.8877314814814816E-2</v>
      </c>
      <c r="F93" s="149">
        <v>20.350000000000001</v>
      </c>
      <c r="G93" s="312">
        <v>212</v>
      </c>
      <c r="H93" s="316"/>
    </row>
    <row r="94" spans="1:10" x14ac:dyDescent="0.2">
      <c r="A94" s="130">
        <v>45230</v>
      </c>
      <c r="B94" s="112"/>
      <c r="C94" s="189"/>
      <c r="D94" s="51">
        <v>23.54</v>
      </c>
      <c r="E94" s="52">
        <v>4.5023148148148145E-2</v>
      </c>
      <c r="F94" s="149">
        <v>21.79</v>
      </c>
      <c r="G94" s="312">
        <v>237</v>
      </c>
      <c r="H94" s="316"/>
    </row>
    <row r="95" spans="1:10" x14ac:dyDescent="0.2">
      <c r="A95" s="130">
        <v>45231</v>
      </c>
      <c r="B95" s="112"/>
      <c r="C95" s="189"/>
      <c r="D95" s="51">
        <v>18.78</v>
      </c>
      <c r="E95" s="52">
        <v>3.8773148148148147E-2</v>
      </c>
      <c r="F95" s="149">
        <v>20.18</v>
      </c>
      <c r="G95" s="312">
        <v>245</v>
      </c>
      <c r="H95" s="316"/>
    </row>
    <row r="96" spans="1:10" x14ac:dyDescent="0.2">
      <c r="A96" s="130">
        <v>45237</v>
      </c>
      <c r="B96" s="112"/>
      <c r="C96" s="189"/>
      <c r="D96" s="51">
        <v>49.16</v>
      </c>
      <c r="E96" s="52">
        <v>9.9120370370370373E-2</v>
      </c>
      <c r="F96" s="149">
        <v>20.66</v>
      </c>
      <c r="G96" s="312">
        <v>612</v>
      </c>
      <c r="H96" s="316"/>
      <c r="J96" s="13"/>
    </row>
    <row r="97" spans="1:14" x14ac:dyDescent="0.2">
      <c r="A97" s="130">
        <v>45238</v>
      </c>
      <c r="B97" s="112"/>
      <c r="C97" s="189"/>
      <c r="D97" s="51">
        <v>18.53</v>
      </c>
      <c r="E97" s="52">
        <v>3.6967592592592594E-2</v>
      </c>
      <c r="F97" s="149">
        <v>20.89</v>
      </c>
      <c r="G97" s="312">
        <v>212</v>
      </c>
      <c r="H97" s="316"/>
    </row>
    <row r="98" spans="1:14" x14ac:dyDescent="0.2">
      <c r="A98" s="130">
        <v>45244</v>
      </c>
      <c r="B98" s="112"/>
      <c r="C98" s="189"/>
      <c r="D98" s="51">
        <v>23.87</v>
      </c>
      <c r="E98" s="52">
        <v>4.5636574074074072E-2</v>
      </c>
      <c r="F98" s="149">
        <v>21.8</v>
      </c>
      <c r="G98" s="312">
        <v>238</v>
      </c>
      <c r="H98" s="316"/>
      <c r="I98" s="33"/>
      <c r="K98" s="33"/>
      <c r="L98" s="33"/>
      <c r="M98" s="33"/>
      <c r="N98" s="33"/>
    </row>
    <row r="99" spans="1:14" x14ac:dyDescent="0.2">
      <c r="A99" s="130">
        <v>45250</v>
      </c>
      <c r="B99" s="112"/>
      <c r="C99" s="189"/>
      <c r="D99" s="51">
        <v>27.38</v>
      </c>
      <c r="E99" s="52">
        <v>5.8854166666666673E-2</v>
      </c>
      <c r="F99" s="149">
        <v>19.38</v>
      </c>
      <c r="G99" s="312">
        <v>335</v>
      </c>
      <c r="H99" s="316"/>
    </row>
    <row r="100" spans="1:14" x14ac:dyDescent="0.2">
      <c r="A100" s="130">
        <v>45252</v>
      </c>
      <c r="B100" s="112"/>
      <c r="C100" s="189"/>
      <c r="D100" s="51">
        <v>18.5</v>
      </c>
      <c r="E100" s="52">
        <v>3.8622685185185184E-2</v>
      </c>
      <c r="F100" s="149">
        <v>19.95</v>
      </c>
      <c r="G100" s="312">
        <v>236</v>
      </c>
      <c r="H100" s="316"/>
    </row>
    <row r="101" spans="1:14" x14ac:dyDescent="0.2">
      <c r="A101" s="130">
        <v>45279</v>
      </c>
      <c r="B101" s="112"/>
      <c r="C101" s="189"/>
      <c r="D101" s="51">
        <v>24.22</v>
      </c>
      <c r="E101" s="52">
        <v>5.0578703703703709E-2</v>
      </c>
      <c r="F101" s="149">
        <v>19.95</v>
      </c>
      <c r="G101" s="312">
        <v>280</v>
      </c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60">
        <f>SUM(D2:D140 )-G157</f>
        <v>2639.6099999999997</v>
      </c>
      <c r="E141" s="306">
        <f>SUM(E2:E140)-F163</f>
        <v>5.695162037037039</v>
      </c>
      <c r="F141" s="307">
        <f>AVERAGEIF(H2:H140,"&lt;&gt;e",F2:F140)</f>
        <v>20.092873563218394</v>
      </c>
      <c r="G141" s="315">
        <f>SUM(G2:G140)-H163</f>
        <v>32369</v>
      </c>
      <c r="H141" s="15" t="s">
        <v>90</v>
      </c>
      <c r="I141">
        <f>SUM(J2:J120)</f>
        <v>0</v>
      </c>
    </row>
    <row r="142" spans="1:9" ht="13.5" thickBot="1" x14ac:dyDescent="0.25">
      <c r="I142" s="33">
        <f>I141/D141</f>
        <v>0</v>
      </c>
    </row>
    <row r="143" spans="1:9" x14ac:dyDescent="0.2">
      <c r="B143" s="259"/>
      <c r="C143" s="588" t="s">
        <v>247</v>
      </c>
      <c r="D143" s="589"/>
      <c r="E143" s="588" t="s">
        <v>248</v>
      </c>
      <c r="F143" s="589"/>
      <c r="G143" s="588" t="s">
        <v>249</v>
      </c>
      <c r="H143" s="589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112.73999999999998</v>
      </c>
      <c r="D145" s="333">
        <f t="shared" ref="D145:D156" si="1">COUNTIFS($A$2:$A$140,"&gt;="&amp;F166,$A$2:$A$140,"&lt;="&amp;G166)</f>
        <v>6</v>
      </c>
      <c r="E145" s="334">
        <f>SUMIFS($D$2:$D$140,$A$2:$A$140,"&lt;="&amp;G166,H2:H140,"")</f>
        <v>112.73999999999998</v>
      </c>
      <c r="F145" s="333">
        <f>COUNTIFS($A$2:$A$140,"&gt;="&amp;F166,$A$2:$A$140,"&lt;="&amp;G166,H2:H140,"")</f>
        <v>6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57.95</v>
      </c>
      <c r="D146" s="333">
        <f t="shared" si="1"/>
        <v>2</v>
      </c>
      <c r="E146" s="335">
        <f t="shared" ref="E146:E156" si="3">SUMIFS($D$2:$D$140,$A$2:$A$140,"&gt;="&amp;F167,$A$2:$A$140,"&lt;="&amp;G167,$H$2:$H$140,"")</f>
        <v>57.95</v>
      </c>
      <c r="F146" s="333">
        <f t="shared" ref="F146:F156" si="4">COUNTIFS($A$2:$A$140,"&gt;="&amp;F167,$A$2:$A$140,"&lt;="&amp;G167,$H$2:$H$140,"")</f>
        <v>2</v>
      </c>
      <c r="G146" s="333">
        <f t="shared" ref="G146:G156" si="5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178.71</v>
      </c>
      <c r="D147" s="333">
        <f t="shared" si="1"/>
        <v>7</v>
      </c>
      <c r="E147" s="335">
        <f t="shared" si="3"/>
        <v>178.71</v>
      </c>
      <c r="F147" s="333">
        <f t="shared" si="4"/>
        <v>7</v>
      </c>
      <c r="G147" s="333">
        <f t="shared" si="5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 t="shared" si="0"/>
        <v>158.46</v>
      </c>
      <c r="D148" s="333">
        <f t="shared" si="1"/>
        <v>5</v>
      </c>
      <c r="E148" s="335">
        <f t="shared" si="3"/>
        <v>132.12</v>
      </c>
      <c r="F148" s="333">
        <f t="shared" si="4"/>
        <v>4</v>
      </c>
      <c r="G148" s="333">
        <f t="shared" si="5"/>
        <v>26.34</v>
      </c>
      <c r="H148" s="333">
        <f t="shared" si="2"/>
        <v>1</v>
      </c>
    </row>
    <row r="149" spans="2:8" x14ac:dyDescent="0.2">
      <c r="B149" s="271" t="s">
        <v>182</v>
      </c>
      <c r="C149" s="333">
        <f t="shared" si="0"/>
        <v>373.40999999999997</v>
      </c>
      <c r="D149" s="333">
        <f t="shared" si="1"/>
        <v>13</v>
      </c>
      <c r="E149" s="335">
        <f t="shared" si="3"/>
        <v>362.99</v>
      </c>
      <c r="F149" s="333">
        <f t="shared" si="4"/>
        <v>12</v>
      </c>
      <c r="G149" s="333">
        <f t="shared" si="5"/>
        <v>10.42</v>
      </c>
      <c r="H149" s="333">
        <f t="shared" si="2"/>
        <v>1</v>
      </c>
    </row>
    <row r="150" spans="2:8" x14ac:dyDescent="0.2">
      <c r="B150" s="271" t="s">
        <v>183</v>
      </c>
      <c r="C150" s="333">
        <f t="shared" si="0"/>
        <v>343.43999999999994</v>
      </c>
      <c r="D150" s="333">
        <f t="shared" si="1"/>
        <v>12</v>
      </c>
      <c r="E150" s="335">
        <f t="shared" si="3"/>
        <v>306.71000000000004</v>
      </c>
      <c r="F150" s="333">
        <f t="shared" si="4"/>
        <v>10</v>
      </c>
      <c r="G150" s="333">
        <f t="shared" si="5"/>
        <v>36.729999999999997</v>
      </c>
      <c r="H150" s="333">
        <f t="shared" si="2"/>
        <v>2</v>
      </c>
    </row>
    <row r="151" spans="2:8" x14ac:dyDescent="0.2">
      <c r="B151" s="271" t="s">
        <v>184</v>
      </c>
      <c r="C151" s="333">
        <f t="shared" si="0"/>
        <v>385.17999999999995</v>
      </c>
      <c r="D151" s="333">
        <f t="shared" si="1"/>
        <v>6</v>
      </c>
      <c r="E151" s="335">
        <f t="shared" si="3"/>
        <v>385.17999999999995</v>
      </c>
      <c r="F151" s="333">
        <f t="shared" si="4"/>
        <v>6</v>
      </c>
      <c r="G151" s="333">
        <f t="shared" si="5"/>
        <v>0</v>
      </c>
      <c r="H151" s="333">
        <f t="shared" si="2"/>
        <v>0</v>
      </c>
    </row>
    <row r="152" spans="2:8" x14ac:dyDescent="0.2">
      <c r="B152" s="271" t="s">
        <v>185</v>
      </c>
      <c r="C152" s="333">
        <f t="shared" si="0"/>
        <v>428.6099999999999</v>
      </c>
      <c r="D152" s="333">
        <f t="shared" si="1"/>
        <v>15</v>
      </c>
      <c r="E152" s="335">
        <f t="shared" si="3"/>
        <v>387.18999999999994</v>
      </c>
      <c r="F152" s="333">
        <f t="shared" si="4"/>
        <v>11</v>
      </c>
      <c r="G152" s="333">
        <f t="shared" si="5"/>
        <v>41.42</v>
      </c>
      <c r="H152" s="333">
        <f t="shared" si="2"/>
        <v>4</v>
      </c>
    </row>
    <row r="153" spans="2:8" x14ac:dyDescent="0.2">
      <c r="B153" s="271" t="s">
        <v>186</v>
      </c>
      <c r="C153" s="333">
        <f t="shared" si="0"/>
        <v>436.53999999999996</v>
      </c>
      <c r="D153" s="333">
        <f t="shared" si="1"/>
        <v>17</v>
      </c>
      <c r="E153" s="335">
        <f t="shared" si="3"/>
        <v>322.89999999999998</v>
      </c>
      <c r="F153" s="333">
        <f t="shared" si="4"/>
        <v>12</v>
      </c>
      <c r="G153" s="333">
        <f t="shared" si="5"/>
        <v>113.64000000000001</v>
      </c>
      <c r="H153" s="333">
        <f t="shared" si="2"/>
        <v>5</v>
      </c>
    </row>
    <row r="154" spans="2:8" x14ac:dyDescent="0.2">
      <c r="B154" s="271" t="s">
        <v>187</v>
      </c>
      <c r="C154" s="333">
        <f t="shared" si="0"/>
        <v>212.67999999999998</v>
      </c>
      <c r="D154" s="333">
        <f>COUNTIFS($A$2:$A$140,"&gt;="&amp;F175,$A$2:$A$140,"&lt;="&amp;G175)</f>
        <v>10</v>
      </c>
      <c r="E154" s="335">
        <f t="shared" si="3"/>
        <v>212.67999999999998</v>
      </c>
      <c r="F154" s="333">
        <f t="shared" si="4"/>
        <v>10</v>
      </c>
      <c r="G154" s="333">
        <f t="shared" si="5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156.22</v>
      </c>
      <c r="D155" s="333">
        <f t="shared" si="1"/>
        <v>6</v>
      </c>
      <c r="E155" s="335">
        <f t="shared" si="3"/>
        <v>156.22</v>
      </c>
      <c r="F155" s="333">
        <f t="shared" si="4"/>
        <v>6</v>
      </c>
      <c r="G155" s="333">
        <f t="shared" si="5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24.22</v>
      </c>
      <c r="D156" s="333">
        <f t="shared" si="1"/>
        <v>1</v>
      </c>
      <c r="E156" s="335">
        <f t="shared" si="3"/>
        <v>24.22</v>
      </c>
      <c r="F156" s="333">
        <f t="shared" si="4"/>
        <v>1</v>
      </c>
      <c r="G156" s="333">
        <f t="shared" si="5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2868.1599999999994</v>
      </c>
      <c r="D157" s="337">
        <f>SUM(D145:D156)</f>
        <v>100</v>
      </c>
      <c r="E157" s="336">
        <f t="shared" ref="E157:H157" si="6">SUM(E145:E156)</f>
        <v>2639.6099999999997</v>
      </c>
      <c r="F157" s="337">
        <f t="shared" si="6"/>
        <v>87</v>
      </c>
      <c r="G157" s="336">
        <f t="shared" si="6"/>
        <v>228.55</v>
      </c>
      <c r="H157" s="338">
        <f t="shared" si="6"/>
        <v>13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20.586666666666666</v>
      </c>
      <c r="E161" s="590" t="s">
        <v>246</v>
      </c>
      <c r="F161" s="591"/>
      <c r="G161" s="591"/>
      <c r="H161" s="592"/>
    </row>
    <row r="162" spans="2:8" x14ac:dyDescent="0.2">
      <c r="B162" s="136" t="s">
        <v>196</v>
      </c>
      <c r="C162" s="33">
        <f>AVERAGEIFS(F2:F140,G2:G140,"&gt;500",G2:G140,"&lt;1000",H2:H140,"&lt;&gt;e")</f>
        <v>18.483333333333334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14.68</v>
      </c>
      <c r="E163" s="321">
        <f>SUMIFS(D2:D140,H2:H140,"e")</f>
        <v>228.55</v>
      </c>
      <c r="F163" s="256">
        <f>SUMIFS(E2:E140,H2:$H$140,"e")</f>
        <v>0.90422453703703698</v>
      </c>
      <c r="G163" s="257">
        <f>AVERAGEIF(H2:H140,"e",F2:F140)</f>
        <v>10.48</v>
      </c>
      <c r="H163" s="258">
        <f>SUMIFS(G2:G140,$H2:H$140,"e")</f>
        <v>1861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2023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4</v>
      </c>
      <c r="D166" s="145"/>
      <c r="E166" t="s">
        <v>178</v>
      </c>
      <c r="F166" s="130">
        <v>44927</v>
      </c>
      <c r="G166" s="130">
        <v>44957</v>
      </c>
    </row>
    <row r="167" spans="2:8" x14ac:dyDescent="0.2">
      <c r="B167" s="283" t="s">
        <v>274</v>
      </c>
      <c r="C167" s="280">
        <f>COUNTIFS($D$2:$D$140,"&gt;=10",$D$2:$D$140,"&lt;=20")</f>
        <v>33</v>
      </c>
      <c r="D167" s="145"/>
      <c r="E167" t="s">
        <v>179</v>
      </c>
      <c r="F167" s="130">
        <v>44958</v>
      </c>
      <c r="G167" s="130">
        <v>44985</v>
      </c>
    </row>
    <row r="168" spans="2:8" x14ac:dyDescent="0.2">
      <c r="B168" s="283" t="s">
        <v>266</v>
      </c>
      <c r="C168" s="280">
        <f>COUNTIFS($D$2:$D$140,"&gt;=20",$D$2:$D$140,"&lt;=30")</f>
        <v>39</v>
      </c>
      <c r="E168" t="s">
        <v>180</v>
      </c>
      <c r="F168" s="130">
        <v>44986</v>
      </c>
      <c r="G168" s="130">
        <v>45016</v>
      </c>
    </row>
    <row r="169" spans="2:8" x14ac:dyDescent="0.2">
      <c r="B169" s="283" t="s">
        <v>268</v>
      </c>
      <c r="C169" s="280">
        <f>COUNTIFS($D$2:$D$140,"&gt;=30",$D$2:$D$140,"&lt;=40")</f>
        <v>11</v>
      </c>
      <c r="E169" t="s">
        <v>181</v>
      </c>
      <c r="F169" s="130">
        <v>45017</v>
      </c>
      <c r="G169" s="130">
        <v>45046</v>
      </c>
    </row>
    <row r="170" spans="2:8" x14ac:dyDescent="0.2">
      <c r="B170" s="283" t="s">
        <v>267</v>
      </c>
      <c r="C170" s="280">
        <f>COUNTIFS($D$2:$D$140,"&gt;=40",$D$2:$D$140,"&lt;=50")</f>
        <v>5</v>
      </c>
      <c r="E170" t="s">
        <v>182</v>
      </c>
      <c r="F170" s="130">
        <v>45047</v>
      </c>
      <c r="G170" s="130">
        <v>45077</v>
      </c>
    </row>
    <row r="171" spans="2:8" x14ac:dyDescent="0.2">
      <c r="B171" s="283" t="s">
        <v>269</v>
      </c>
      <c r="C171" s="280">
        <f>COUNTIFS($D$2:$D$140,"&gt;=50",$D$2:$D$140,"&lt;=60")</f>
        <v>1</v>
      </c>
      <c r="E171" t="s">
        <v>183</v>
      </c>
      <c r="F171" s="130">
        <v>45078</v>
      </c>
      <c r="G171" s="130">
        <v>45107</v>
      </c>
    </row>
    <row r="172" spans="2:8" x14ac:dyDescent="0.2">
      <c r="B172" s="283" t="s">
        <v>270</v>
      </c>
      <c r="C172" s="280">
        <f>COUNTIFS($D$2:$D$140,"&gt;=60",$D$2:$D$140,"&lt;=70")</f>
        <v>3</v>
      </c>
      <c r="E172" t="s">
        <v>184</v>
      </c>
      <c r="F172" s="130">
        <v>45108</v>
      </c>
      <c r="G172" s="130">
        <v>45138</v>
      </c>
    </row>
    <row r="173" spans="2:8" x14ac:dyDescent="0.2">
      <c r="B173" s="283" t="s">
        <v>271</v>
      </c>
      <c r="C173" s="280">
        <f>COUNTIFS($D$2:$D$140,"&gt;=70",$D$2:$D$140,"&lt;=80")</f>
        <v>3</v>
      </c>
      <c r="E173" t="s">
        <v>185</v>
      </c>
      <c r="F173" s="130">
        <v>45139</v>
      </c>
      <c r="G173" s="130">
        <v>45169</v>
      </c>
    </row>
    <row r="174" spans="2:8" x14ac:dyDescent="0.2">
      <c r="B174" s="283" t="s">
        <v>272</v>
      </c>
      <c r="C174" s="280">
        <f>COUNTIFS($D$2:$D$140,"&gt;=80",$D$2:$D$140,"&lt;=90")</f>
        <v>1</v>
      </c>
      <c r="E174" t="s">
        <v>186</v>
      </c>
      <c r="F174" s="130">
        <v>45170</v>
      </c>
      <c r="G174" s="130">
        <v>45199</v>
      </c>
    </row>
    <row r="175" spans="2:8" x14ac:dyDescent="0.2">
      <c r="B175" s="283" t="s">
        <v>273</v>
      </c>
      <c r="C175" s="280">
        <f>COUNTIFS($D$2:$D$140,"&gt;=90",$D$2:$D$140,"&lt;=100")</f>
        <v>1</v>
      </c>
      <c r="E175" t="s">
        <v>187</v>
      </c>
      <c r="F175" s="130">
        <v>45200</v>
      </c>
      <c r="G175" s="130">
        <v>45230</v>
      </c>
    </row>
    <row r="176" spans="2:8" x14ac:dyDescent="0.2">
      <c r="B176" s="283" t="s">
        <v>275</v>
      </c>
      <c r="C176" s="280">
        <f>COUNTIFS($D$2:$D$140,"&gt;=100",$D$2:$D$140,"&lt;=110")</f>
        <v>0</v>
      </c>
      <c r="E176" t="s">
        <v>188</v>
      </c>
      <c r="F176" s="130">
        <v>45231</v>
      </c>
      <c r="G176" s="130">
        <v>45260</v>
      </c>
    </row>
    <row r="177" spans="2:7" ht="13.5" thickBot="1" x14ac:dyDescent="0.25">
      <c r="B177" s="284" t="s">
        <v>276</v>
      </c>
      <c r="C177" s="285">
        <f>COUNTIFS($D$2:$D$140,"&gt;=110",$D$2:$D$140,"&lt;=150")</f>
        <v>0</v>
      </c>
      <c r="E177" t="s">
        <v>189</v>
      </c>
      <c r="F177" s="130">
        <v>45261</v>
      </c>
      <c r="G177" s="130">
        <v>45291</v>
      </c>
    </row>
    <row r="178" spans="2:7" x14ac:dyDescent="0.2">
      <c r="C178" s="31">
        <f>SUM(C166:C177)</f>
        <v>101</v>
      </c>
    </row>
  </sheetData>
  <mergeCells count="5">
    <mergeCell ref="C143:D143"/>
    <mergeCell ref="E143:F143"/>
    <mergeCell ref="G143:H143"/>
    <mergeCell ref="E161:H161"/>
    <mergeCell ref="B47:C51"/>
  </mergeCells>
  <pageMargins left="0.7" right="0.7" top="0.78740157499999996" bottom="0.78740157499999996" header="0.3" footer="0.3"/>
  <pageSetup paperSize="9" orientation="portrait" r:id="rId1"/>
  <ignoredErrors>
    <ignoredError sqref="F141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DA69-212F-41FC-9283-AA156F6296A1}">
  <dimension ref="A1:Q178"/>
  <sheetViews>
    <sheetView zoomScaleNormal="100" workbookViewId="0">
      <pane ySplit="1" topLeftCell="A32" activePane="bottomLeft" state="frozen"/>
      <selection pane="bottomLeft" activeCell="G141" sqref="G141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9.28515625" bestFit="1" customWidth="1"/>
    <col min="8" max="8" width="17.5703125" bestFit="1" customWidth="1"/>
    <col min="9" max="9" width="19.5703125" customWidth="1"/>
    <col min="10" max="10" width="16.5703125" bestFit="1" customWidth="1"/>
    <col min="11" max="11" width="12.5703125" customWidth="1"/>
    <col min="12" max="12" width="10.140625" customWidth="1"/>
    <col min="13" max="13" width="17.7109375" bestFit="1" customWidth="1"/>
    <col min="14" max="15" width="17.5703125" bestFit="1" customWidth="1"/>
    <col min="16" max="16" width="8.5703125" bestFit="1" customWidth="1"/>
    <col min="17" max="17" width="16" bestFit="1" customWidth="1"/>
    <col min="18" max="18" width="19.285156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295</v>
      </c>
      <c r="I1" s="213" t="s">
        <v>145</v>
      </c>
      <c r="J1" s="302" t="s">
        <v>144</v>
      </c>
    </row>
    <row r="2" spans="1:15" ht="13.5" thickBot="1" x14ac:dyDescent="0.25">
      <c r="A2" s="129">
        <v>44567</v>
      </c>
      <c r="B2" s="112"/>
      <c r="C2" s="188"/>
      <c r="D2" s="60">
        <v>19.34</v>
      </c>
      <c r="E2" s="61">
        <v>4.297453703703704E-2</v>
      </c>
      <c r="F2" s="148">
        <v>18.75</v>
      </c>
      <c r="G2" s="311">
        <v>240</v>
      </c>
      <c r="H2" s="322"/>
      <c r="I2" s="323" t="s">
        <v>294</v>
      </c>
      <c r="J2" s="6">
        <v>1490</v>
      </c>
      <c r="K2" s="275"/>
    </row>
    <row r="3" spans="1:15" ht="13.5" thickBot="1" x14ac:dyDescent="0.25">
      <c r="A3" s="130">
        <v>44571</v>
      </c>
      <c r="B3" s="112"/>
      <c r="C3" s="189"/>
      <c r="D3" s="51">
        <v>19.350000000000001</v>
      </c>
      <c r="E3" s="52">
        <v>4.2916666666666665E-2</v>
      </c>
      <c r="F3" s="149">
        <v>18.79</v>
      </c>
      <c r="G3" s="312">
        <v>232</v>
      </c>
      <c r="H3" s="322"/>
      <c r="I3" s="324" t="s">
        <v>297</v>
      </c>
      <c r="J3" s="261">
        <v>4500</v>
      </c>
      <c r="L3" s="602" t="s">
        <v>246</v>
      </c>
      <c r="M3" s="591"/>
      <c r="N3" s="591"/>
      <c r="O3" s="592"/>
    </row>
    <row r="4" spans="1:15" x14ac:dyDescent="0.2">
      <c r="A4" s="130">
        <v>44572</v>
      </c>
      <c r="B4" s="112"/>
      <c r="C4" s="189"/>
      <c r="D4" s="51">
        <v>19.2</v>
      </c>
      <c r="E4" s="52">
        <v>4.0370370370370369E-2</v>
      </c>
      <c r="F4" s="149">
        <v>19.829999999999998</v>
      </c>
      <c r="G4" s="312">
        <v>245</v>
      </c>
      <c r="H4" s="322"/>
      <c r="I4" s="324" t="s">
        <v>298</v>
      </c>
      <c r="J4" s="261">
        <v>1500</v>
      </c>
      <c r="L4" s="252" t="s">
        <v>143</v>
      </c>
      <c r="M4" s="253" t="s">
        <v>2</v>
      </c>
      <c r="N4" s="253" t="s">
        <v>3</v>
      </c>
      <c r="O4" s="254" t="s">
        <v>4</v>
      </c>
    </row>
    <row r="5" spans="1:15" ht="13.5" thickBot="1" x14ac:dyDescent="0.25">
      <c r="A5" s="130">
        <v>44574</v>
      </c>
      <c r="B5" s="112"/>
      <c r="C5" s="189"/>
      <c r="D5" s="51">
        <v>39.4</v>
      </c>
      <c r="E5" s="52">
        <v>8.0347222222222223E-2</v>
      </c>
      <c r="F5" s="149">
        <v>20.43</v>
      </c>
      <c r="G5" s="312">
        <v>302</v>
      </c>
      <c r="H5" s="322"/>
      <c r="I5" s="260"/>
      <c r="J5" s="261"/>
      <c r="L5" s="255">
        <f>SUMIFS(D1:D133,H1:H133,"e")</f>
        <v>174.36999999999998</v>
      </c>
      <c r="M5" s="256">
        <f>SUMIFS(E2:E133,$H2:H$133,"e")</f>
        <v>0.74070601851851858</v>
      </c>
      <c r="N5" s="257">
        <f>AVERAGEIF(H2:H134,"e",F2:F134)</f>
        <v>10.0425</v>
      </c>
      <c r="O5" s="258">
        <f>SUMIFS(G2:G134,$H2:H$134,"e")</f>
        <v>1148</v>
      </c>
    </row>
    <row r="6" spans="1:15" x14ac:dyDescent="0.2">
      <c r="A6" s="130">
        <v>44592</v>
      </c>
      <c r="B6" s="112"/>
      <c r="C6" s="189"/>
      <c r="D6" s="51">
        <v>24.71</v>
      </c>
      <c r="E6" s="52">
        <v>4.9780092592592591E-2</v>
      </c>
      <c r="F6" s="149">
        <v>20.68</v>
      </c>
      <c r="G6" s="312">
        <v>267</v>
      </c>
      <c r="H6" s="322"/>
      <c r="I6" s="324"/>
      <c r="J6" s="261"/>
    </row>
    <row r="7" spans="1:15" x14ac:dyDescent="0.2">
      <c r="A7" s="130">
        <v>44602</v>
      </c>
      <c r="B7" s="112"/>
      <c r="C7" s="189"/>
      <c r="D7" s="51">
        <v>23.58</v>
      </c>
      <c r="E7" s="52">
        <v>4.9837962962962966E-2</v>
      </c>
      <c r="F7" s="149">
        <v>19.72</v>
      </c>
      <c r="G7" s="312">
        <v>161</v>
      </c>
      <c r="H7" s="322"/>
      <c r="I7" s="325"/>
      <c r="J7" s="261"/>
    </row>
    <row r="8" spans="1:15" x14ac:dyDescent="0.2">
      <c r="A8" s="130">
        <v>44606</v>
      </c>
      <c r="B8" s="112"/>
      <c r="C8" s="189"/>
      <c r="D8" s="51">
        <v>33.06</v>
      </c>
      <c r="E8" s="52">
        <v>6.6875000000000004E-2</v>
      </c>
      <c r="F8" s="149">
        <v>20.6</v>
      </c>
      <c r="G8" s="312">
        <v>364</v>
      </c>
      <c r="H8" s="322"/>
      <c r="I8" s="260"/>
      <c r="J8" s="261"/>
    </row>
    <row r="9" spans="1:15" x14ac:dyDescent="0.2">
      <c r="A9" s="130">
        <v>44608</v>
      </c>
      <c r="B9" s="112"/>
      <c r="C9" s="189"/>
      <c r="D9" s="51">
        <v>20.18</v>
      </c>
      <c r="E9" s="52">
        <v>3.9942129629629626E-2</v>
      </c>
      <c r="F9" s="149">
        <v>21.05</v>
      </c>
      <c r="G9" s="312">
        <v>199</v>
      </c>
      <c r="H9" s="322"/>
      <c r="I9" s="260"/>
      <c r="J9" s="261"/>
      <c r="K9" s="12"/>
    </row>
    <row r="10" spans="1:15" x14ac:dyDescent="0.2">
      <c r="A10" s="130">
        <v>44614</v>
      </c>
      <c r="B10" s="112"/>
      <c r="C10" s="189"/>
      <c r="D10" s="51">
        <v>23.86</v>
      </c>
      <c r="E10" s="52">
        <v>4.4756944444444446E-2</v>
      </c>
      <c r="F10" s="149">
        <v>22.22</v>
      </c>
      <c r="G10" s="312">
        <v>214</v>
      </c>
      <c r="H10" s="322"/>
      <c r="I10" s="260"/>
      <c r="J10" s="261"/>
      <c r="L10" s="186"/>
      <c r="M10" s="13"/>
      <c r="N10" s="186"/>
      <c r="O10" s="186"/>
    </row>
    <row r="11" spans="1:15" x14ac:dyDescent="0.2">
      <c r="A11" s="130">
        <v>44616</v>
      </c>
      <c r="B11" s="112"/>
      <c r="C11" s="189"/>
      <c r="D11" s="51">
        <v>26.22</v>
      </c>
      <c r="E11" s="52">
        <v>5.5185185185185191E-2</v>
      </c>
      <c r="F11" s="149">
        <v>19.79</v>
      </c>
      <c r="G11" s="312">
        <v>206</v>
      </c>
      <c r="H11" s="322"/>
      <c r="I11" s="260"/>
      <c r="J11" s="261"/>
      <c r="L11" s="194"/>
    </row>
    <row r="12" spans="1:15" x14ac:dyDescent="0.2">
      <c r="A12" s="130">
        <v>44620</v>
      </c>
      <c r="B12" s="112"/>
      <c r="C12" s="189"/>
      <c r="D12" s="51">
        <v>21.13</v>
      </c>
      <c r="E12" s="52">
        <v>4.3634259259259262E-2</v>
      </c>
      <c r="F12" s="149">
        <v>20.170000000000002</v>
      </c>
      <c r="G12" s="312">
        <v>249</v>
      </c>
      <c r="H12" s="322"/>
      <c r="I12" s="260"/>
      <c r="J12" s="261"/>
    </row>
    <row r="13" spans="1:15" x14ac:dyDescent="0.2">
      <c r="A13" s="130">
        <v>44635</v>
      </c>
      <c r="B13" s="112"/>
      <c r="C13" s="189"/>
      <c r="D13" s="51">
        <v>18.46</v>
      </c>
      <c r="E13" s="52">
        <v>3.7303240740740741E-2</v>
      </c>
      <c r="F13" s="149">
        <v>20.62</v>
      </c>
      <c r="G13" s="312">
        <v>202</v>
      </c>
      <c r="H13" s="322"/>
      <c r="I13" s="260"/>
      <c r="J13" s="261"/>
      <c r="N13" s="36"/>
      <c r="O13" s="36"/>
    </row>
    <row r="14" spans="1:15" x14ac:dyDescent="0.2">
      <c r="A14" s="130">
        <v>44636</v>
      </c>
      <c r="B14" s="112"/>
      <c r="C14" s="189"/>
      <c r="D14" s="51">
        <v>33.1</v>
      </c>
      <c r="E14" s="52">
        <v>6.4201388888888891E-2</v>
      </c>
      <c r="F14" s="149">
        <v>21.48</v>
      </c>
      <c r="G14" s="312">
        <v>350</v>
      </c>
      <c r="H14" s="322"/>
      <c r="I14" s="326"/>
      <c r="J14" s="261"/>
      <c r="N14" s="184"/>
      <c r="O14" s="36"/>
    </row>
    <row r="15" spans="1:15" x14ac:dyDescent="0.2">
      <c r="A15" s="130">
        <v>44637</v>
      </c>
      <c r="B15" s="112"/>
      <c r="C15" s="189"/>
      <c r="D15" s="51">
        <v>53.75</v>
      </c>
      <c r="E15" s="52">
        <v>0.11148148148148147</v>
      </c>
      <c r="F15" s="149">
        <v>20.09</v>
      </c>
      <c r="G15" s="312">
        <v>271</v>
      </c>
      <c r="H15" s="322"/>
      <c r="I15" s="260"/>
      <c r="J15" s="261"/>
      <c r="L15" s="186"/>
      <c r="N15" s="184"/>
      <c r="O15" s="36"/>
    </row>
    <row r="16" spans="1:15" x14ac:dyDescent="0.2">
      <c r="A16" s="130">
        <v>44648</v>
      </c>
      <c r="B16" s="112"/>
      <c r="C16" s="189"/>
      <c r="D16" s="51">
        <v>52.98</v>
      </c>
      <c r="E16" s="52">
        <v>0.1097337962962963</v>
      </c>
      <c r="F16" s="149">
        <v>20.11</v>
      </c>
      <c r="G16" s="312">
        <v>616</v>
      </c>
      <c r="H16" s="322"/>
      <c r="I16" s="326"/>
      <c r="J16" s="261"/>
      <c r="N16" s="184"/>
      <c r="O16" s="36"/>
    </row>
    <row r="17" spans="1:15" x14ac:dyDescent="0.2">
      <c r="A17" s="130">
        <v>44649</v>
      </c>
      <c r="B17" s="112"/>
      <c r="C17" s="189"/>
      <c r="D17" s="51">
        <v>18.21</v>
      </c>
      <c r="E17" s="52">
        <v>3.5937500000000004E-2</v>
      </c>
      <c r="F17" s="149">
        <v>21.11</v>
      </c>
      <c r="G17" s="312">
        <v>197</v>
      </c>
      <c r="H17" s="322"/>
      <c r="I17" s="260"/>
      <c r="J17" s="261"/>
      <c r="N17" s="184"/>
      <c r="O17" s="36"/>
    </row>
    <row r="18" spans="1:15" x14ac:dyDescent="0.2">
      <c r="A18" s="130">
        <v>44655</v>
      </c>
      <c r="B18" s="112"/>
      <c r="C18" s="189"/>
      <c r="D18" s="51">
        <v>16.53</v>
      </c>
      <c r="E18" s="52">
        <v>3.5856481481481482E-2</v>
      </c>
      <c r="F18" s="149">
        <v>19.21</v>
      </c>
      <c r="G18" s="312">
        <v>236</v>
      </c>
      <c r="H18" s="322"/>
      <c r="I18" s="326"/>
      <c r="J18" s="261"/>
      <c r="N18" s="185"/>
      <c r="O18" s="36"/>
    </row>
    <row r="19" spans="1:15" x14ac:dyDescent="0.2">
      <c r="A19" s="130">
        <v>44662</v>
      </c>
      <c r="B19" s="112"/>
      <c r="C19" s="189"/>
      <c r="D19" s="51">
        <v>22.36</v>
      </c>
      <c r="E19" s="52">
        <v>4.701388888888889E-2</v>
      </c>
      <c r="F19" s="149">
        <v>19.82</v>
      </c>
      <c r="G19" s="312">
        <v>293</v>
      </c>
      <c r="H19" s="322"/>
      <c r="I19" s="260"/>
      <c r="J19" s="261"/>
      <c r="N19" s="36"/>
      <c r="O19" s="36"/>
    </row>
    <row r="20" spans="1:15" x14ac:dyDescent="0.2">
      <c r="A20" s="130">
        <v>44664</v>
      </c>
      <c r="B20" s="112"/>
      <c r="C20" s="189"/>
      <c r="D20" s="51">
        <v>25.64</v>
      </c>
      <c r="E20" s="52">
        <v>5.4282407407407411E-2</v>
      </c>
      <c r="F20" s="149">
        <v>19.68</v>
      </c>
      <c r="G20" s="312">
        <v>337</v>
      </c>
      <c r="H20" s="322"/>
      <c r="I20" s="260"/>
      <c r="J20" s="261"/>
      <c r="N20" s="36"/>
      <c r="O20" s="36"/>
    </row>
    <row r="21" spans="1:15" ht="15" x14ac:dyDescent="0.2">
      <c r="A21" s="130">
        <v>44670</v>
      </c>
      <c r="B21" s="112"/>
      <c r="C21" s="189"/>
      <c r="D21" s="51">
        <v>13.13</v>
      </c>
      <c r="E21" s="52">
        <v>2.988425925925926E-2</v>
      </c>
      <c r="F21" s="149">
        <v>18.309999999999999</v>
      </c>
      <c r="G21" s="312">
        <v>136</v>
      </c>
      <c r="H21" s="322"/>
      <c r="I21" s="260"/>
      <c r="J21" s="327"/>
      <c r="K21" s="36"/>
      <c r="L21" s="36"/>
      <c r="M21" s="36"/>
      <c r="N21" s="36"/>
      <c r="O21" s="36"/>
    </row>
    <row r="22" spans="1:15" ht="14.25" x14ac:dyDescent="0.2">
      <c r="A22" s="130">
        <v>44671</v>
      </c>
      <c r="B22" s="112"/>
      <c r="C22" s="189"/>
      <c r="D22" s="51">
        <v>27.15</v>
      </c>
      <c r="E22" s="52">
        <v>5.6215277777777774E-2</v>
      </c>
      <c r="F22" s="149">
        <v>20.12</v>
      </c>
      <c r="G22" s="312">
        <v>344</v>
      </c>
      <c r="H22" s="322"/>
      <c r="I22" s="328"/>
      <c r="J22" s="329"/>
      <c r="K22" s="97"/>
      <c r="L22" s="97"/>
      <c r="M22" s="97"/>
      <c r="N22" s="97"/>
      <c r="O22" s="97"/>
    </row>
    <row r="23" spans="1:15" x14ac:dyDescent="0.2">
      <c r="A23" s="130">
        <v>44672</v>
      </c>
      <c r="B23" s="112"/>
      <c r="C23" s="189"/>
      <c r="D23" s="51">
        <v>12.78</v>
      </c>
      <c r="E23" s="52">
        <v>3.0428240740740742E-2</v>
      </c>
      <c r="F23" s="149">
        <v>17.5</v>
      </c>
      <c r="G23" s="312">
        <v>154</v>
      </c>
      <c r="H23" s="322"/>
      <c r="I23" s="330"/>
      <c r="J23" s="329"/>
      <c r="K23" s="97"/>
      <c r="L23" s="97"/>
      <c r="M23" s="97"/>
      <c r="N23" s="97"/>
      <c r="O23" s="97"/>
    </row>
    <row r="24" spans="1:15" x14ac:dyDescent="0.2">
      <c r="A24" s="130">
        <v>44677</v>
      </c>
      <c r="B24" s="112"/>
      <c r="C24" s="189"/>
      <c r="D24" s="51">
        <v>27.86</v>
      </c>
      <c r="E24" s="52">
        <v>5.6956018518518524E-2</v>
      </c>
      <c r="F24" s="149">
        <v>20.38</v>
      </c>
      <c r="G24" s="312">
        <v>334</v>
      </c>
      <c r="H24" s="322"/>
      <c r="I24" s="330"/>
      <c r="J24" s="329"/>
      <c r="K24" s="97"/>
      <c r="O24" s="97"/>
    </row>
    <row r="25" spans="1:15" x14ac:dyDescent="0.2">
      <c r="A25" s="130">
        <v>44679</v>
      </c>
      <c r="B25" s="112"/>
      <c r="C25" s="189"/>
      <c r="D25" s="51">
        <v>29.27</v>
      </c>
      <c r="E25" s="52">
        <v>5.5821759259259258E-2</v>
      </c>
      <c r="F25" s="149">
        <v>21.85</v>
      </c>
      <c r="G25" s="312">
        <v>309</v>
      </c>
      <c r="H25" s="322"/>
      <c r="I25" s="325"/>
      <c r="J25" s="329" t="s">
        <v>220</v>
      </c>
      <c r="K25" s="97"/>
      <c r="O25" s="97"/>
    </row>
    <row r="26" spans="1:15" x14ac:dyDescent="0.2">
      <c r="A26" s="130">
        <v>44686</v>
      </c>
      <c r="B26" s="112"/>
      <c r="C26" s="189"/>
      <c r="D26" s="51">
        <v>42.69</v>
      </c>
      <c r="E26" s="52">
        <v>8.4062499999999998E-2</v>
      </c>
      <c r="F26" s="149">
        <v>21.16</v>
      </c>
      <c r="G26" s="312">
        <v>543</v>
      </c>
      <c r="H26" s="322"/>
      <c r="I26" s="260"/>
      <c r="J26" s="329"/>
      <c r="K26" s="97"/>
      <c r="L26" s="97"/>
      <c r="N26" s="97"/>
      <c r="O26" s="97"/>
    </row>
    <row r="27" spans="1:15" x14ac:dyDescent="0.2">
      <c r="A27" s="130">
        <v>44687</v>
      </c>
      <c r="B27" s="112"/>
      <c r="C27" s="189"/>
      <c r="D27" s="51">
        <v>20.170000000000002</v>
      </c>
      <c r="E27" s="52">
        <v>4.2893518518518518E-2</v>
      </c>
      <c r="F27" s="149">
        <v>19.600000000000001</v>
      </c>
      <c r="G27" s="312">
        <v>219</v>
      </c>
      <c r="H27" s="322"/>
      <c r="I27" s="331"/>
      <c r="J27" s="329"/>
      <c r="K27" s="97"/>
      <c r="L27" s="97"/>
      <c r="N27" s="97"/>
      <c r="O27" s="97"/>
    </row>
    <row r="28" spans="1:15" x14ac:dyDescent="0.2">
      <c r="A28" s="130">
        <v>44692</v>
      </c>
      <c r="B28" s="112"/>
      <c r="C28" s="189"/>
      <c r="D28" s="51">
        <v>35.07</v>
      </c>
      <c r="E28" s="52">
        <v>7.3564814814814819E-2</v>
      </c>
      <c r="F28" s="149">
        <v>19.86</v>
      </c>
      <c r="G28" s="312">
        <v>480</v>
      </c>
      <c r="H28" s="322"/>
      <c r="I28" s="260"/>
      <c r="J28" s="329"/>
      <c r="K28" s="97"/>
      <c r="L28" s="97"/>
      <c r="N28" s="97"/>
      <c r="O28" s="97"/>
    </row>
    <row r="29" spans="1:15" ht="13.5" thickBot="1" x14ac:dyDescent="0.25">
      <c r="A29" s="130">
        <v>44693</v>
      </c>
      <c r="B29" s="112"/>
      <c r="C29" s="189"/>
      <c r="D29" s="51">
        <v>19.41</v>
      </c>
      <c r="E29" s="52">
        <v>3.8831018518518515E-2</v>
      </c>
      <c r="F29" s="149">
        <v>19.86</v>
      </c>
      <c r="G29" s="312">
        <v>480</v>
      </c>
      <c r="H29" s="322"/>
      <c r="I29" s="332"/>
      <c r="J29" s="264"/>
      <c r="K29" s="97"/>
      <c r="O29" s="97"/>
    </row>
    <row r="30" spans="1:15" x14ac:dyDescent="0.2">
      <c r="A30" s="130">
        <v>44700</v>
      </c>
      <c r="B30" s="112"/>
      <c r="C30" s="189"/>
      <c r="D30" s="51">
        <v>81.47</v>
      </c>
      <c r="E30" s="52">
        <v>0.2016435185185185</v>
      </c>
      <c r="F30" s="149">
        <v>16.829999999999998</v>
      </c>
      <c r="G30" s="312">
        <v>1306</v>
      </c>
      <c r="H30" s="316"/>
      <c r="I30" s="97"/>
      <c r="K30" s="97"/>
      <c r="O30" s="97"/>
    </row>
    <row r="31" spans="1:15" x14ac:dyDescent="0.2">
      <c r="A31" s="130">
        <v>44704</v>
      </c>
      <c r="B31" s="112"/>
      <c r="C31" s="189"/>
      <c r="D31" s="51">
        <v>15.71</v>
      </c>
      <c r="E31" s="52">
        <v>3.3449074074074069E-2</v>
      </c>
      <c r="F31" s="149">
        <v>19.579999999999998</v>
      </c>
      <c r="G31" s="312">
        <v>199</v>
      </c>
      <c r="H31" s="317"/>
      <c r="I31" s="97"/>
      <c r="J31" s="97"/>
      <c r="K31" s="97"/>
      <c r="L31" s="97"/>
      <c r="N31" s="97"/>
      <c r="O31" s="97"/>
    </row>
    <row r="32" spans="1:15" x14ac:dyDescent="0.2">
      <c r="A32" s="130">
        <v>44705</v>
      </c>
      <c r="B32" s="112"/>
      <c r="C32" s="189"/>
      <c r="D32" s="51">
        <v>19.47</v>
      </c>
      <c r="E32" s="52">
        <v>3.847222222222222E-2</v>
      </c>
      <c r="F32" s="149">
        <v>21.04</v>
      </c>
      <c r="G32" s="312">
        <v>181</v>
      </c>
      <c r="H32" s="15"/>
      <c r="N32" s="36"/>
      <c r="O32" s="184"/>
    </row>
    <row r="33" spans="1:17" x14ac:dyDescent="0.2">
      <c r="A33" s="130">
        <v>44707</v>
      </c>
      <c r="B33" s="112"/>
      <c r="C33" s="189"/>
      <c r="D33" s="51">
        <v>24.83</v>
      </c>
      <c r="E33" s="52">
        <v>4.5520833333333337E-2</v>
      </c>
      <c r="F33" s="149">
        <v>22.73</v>
      </c>
      <c r="G33" s="312">
        <v>249</v>
      </c>
      <c r="H33" s="317"/>
      <c r="N33" s="36"/>
      <c r="O33" s="185"/>
    </row>
    <row r="34" spans="1:17" ht="12.75" customHeight="1" x14ac:dyDescent="0.2">
      <c r="A34" s="130">
        <v>44711</v>
      </c>
      <c r="B34" s="112"/>
      <c r="C34" s="189"/>
      <c r="D34" s="51">
        <v>42.37</v>
      </c>
      <c r="E34" s="52">
        <v>8.8159722222222223E-2</v>
      </c>
      <c r="F34" s="149">
        <v>20.02</v>
      </c>
      <c r="G34" s="312">
        <v>411</v>
      </c>
      <c r="H34" s="317"/>
      <c r="I34" s="97"/>
      <c r="J34" s="97"/>
      <c r="K34" s="184"/>
      <c r="L34" s="184"/>
      <c r="N34" s="36"/>
      <c r="O34" s="36"/>
      <c r="P34" s="36"/>
      <c r="Q34" s="36"/>
    </row>
    <row r="35" spans="1:17" ht="12.75" customHeight="1" x14ac:dyDescent="0.2">
      <c r="A35" s="130">
        <v>44712</v>
      </c>
      <c r="B35" s="112"/>
      <c r="C35" s="189"/>
      <c r="D35" s="51">
        <v>24.43</v>
      </c>
      <c r="E35" s="52">
        <v>5.5787037037037031E-2</v>
      </c>
      <c r="F35" s="149">
        <v>18.25</v>
      </c>
      <c r="G35" s="312">
        <v>223</v>
      </c>
      <c r="H35" s="15"/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30">
        <v>44714</v>
      </c>
      <c r="B36" s="112"/>
      <c r="C36" s="189"/>
      <c r="D36" s="51">
        <v>26.23</v>
      </c>
      <c r="E36" s="52">
        <v>5.2083333333333336E-2</v>
      </c>
      <c r="F36" s="149">
        <v>20.98</v>
      </c>
      <c r="G36" s="312">
        <v>287</v>
      </c>
      <c r="H36" s="317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30">
        <v>44715</v>
      </c>
      <c r="B37" s="112"/>
      <c r="C37" s="189"/>
      <c r="D37" s="51">
        <v>18.82</v>
      </c>
      <c r="E37" s="52">
        <v>3.5902777777777777E-2</v>
      </c>
      <c r="F37" s="149">
        <v>21.84</v>
      </c>
      <c r="G37" s="312">
        <v>183</v>
      </c>
      <c r="H37" s="316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30">
        <v>44718</v>
      </c>
      <c r="B38" s="112"/>
      <c r="C38" s="189"/>
      <c r="D38" s="51">
        <v>17.97</v>
      </c>
      <c r="E38" s="52">
        <v>4.1932870370370377E-2</v>
      </c>
      <c r="F38" s="149">
        <v>17.850000000000001</v>
      </c>
      <c r="G38" s="312">
        <v>178</v>
      </c>
      <c r="H38" s="316"/>
      <c r="I38" s="97"/>
      <c r="J38" s="97"/>
      <c r="K38" s="36"/>
      <c r="L38" s="36"/>
      <c r="M38" s="36"/>
      <c r="N38" s="36"/>
      <c r="O38" s="36"/>
      <c r="P38" s="36"/>
      <c r="Q38" s="36"/>
    </row>
    <row r="39" spans="1:17" ht="15" x14ac:dyDescent="0.2">
      <c r="A39" s="131">
        <v>44723</v>
      </c>
      <c r="B39" s="67" t="s">
        <v>280</v>
      </c>
      <c r="C39" s="118"/>
      <c r="D39" s="67">
        <v>73.25</v>
      </c>
      <c r="E39" s="68">
        <v>0.23814814814814814</v>
      </c>
      <c r="F39" s="150">
        <v>15.4</v>
      </c>
      <c r="G39" s="69">
        <v>1095</v>
      </c>
      <c r="H39" s="316"/>
      <c r="I39" s="97"/>
      <c r="J39" s="97"/>
    </row>
    <row r="40" spans="1:17" x14ac:dyDescent="0.2">
      <c r="A40" s="130">
        <v>44729</v>
      </c>
      <c r="B40" s="112"/>
      <c r="C40" s="189"/>
      <c r="D40" s="51">
        <v>36.729999999999997</v>
      </c>
      <c r="E40" s="52">
        <v>7.7766203703703699E-2</v>
      </c>
      <c r="F40" s="149">
        <v>19.7</v>
      </c>
      <c r="G40" s="312">
        <v>824</v>
      </c>
      <c r="H40" s="316"/>
      <c r="I40" s="97"/>
      <c r="J40" s="97"/>
    </row>
    <row r="41" spans="1:17" x14ac:dyDescent="0.2">
      <c r="A41" s="130">
        <v>44730</v>
      </c>
      <c r="B41" s="112"/>
      <c r="C41" s="189"/>
      <c r="D41" s="51">
        <v>18.600000000000001</v>
      </c>
      <c r="E41" s="52">
        <v>5.185185185185185E-2</v>
      </c>
      <c r="F41" s="149">
        <v>15</v>
      </c>
      <c r="G41" s="312">
        <v>96</v>
      </c>
      <c r="H41" s="316" t="s">
        <v>244</v>
      </c>
      <c r="I41" s="97"/>
      <c r="J41" s="97"/>
    </row>
    <row r="42" spans="1:17" x14ac:dyDescent="0.2">
      <c r="A42" s="130">
        <v>44728</v>
      </c>
      <c r="B42" s="112"/>
      <c r="C42" s="189"/>
      <c r="D42" s="51">
        <v>25</v>
      </c>
      <c r="E42" s="52">
        <v>4.5740740740740742E-2</v>
      </c>
      <c r="F42" s="149">
        <v>22.8</v>
      </c>
      <c r="G42" s="312">
        <v>261</v>
      </c>
      <c r="H42" s="316"/>
      <c r="I42" s="97"/>
      <c r="J42" s="97"/>
    </row>
    <row r="43" spans="1:17" x14ac:dyDescent="0.2">
      <c r="A43" s="130">
        <v>44732</v>
      </c>
      <c r="B43" s="112"/>
      <c r="C43" s="189"/>
      <c r="D43" s="51">
        <v>21.3</v>
      </c>
      <c r="E43" s="52">
        <v>3.8310185185185183E-2</v>
      </c>
      <c r="F43" s="149">
        <v>23.2</v>
      </c>
      <c r="G43" s="312">
        <v>208</v>
      </c>
      <c r="H43" s="316"/>
      <c r="I43" s="97"/>
      <c r="J43" s="97"/>
    </row>
    <row r="44" spans="1:17" x14ac:dyDescent="0.2">
      <c r="A44" s="130">
        <v>44746</v>
      </c>
      <c r="B44" s="112"/>
      <c r="C44" s="189"/>
      <c r="D44" s="51">
        <v>15.7</v>
      </c>
      <c r="E44" s="52">
        <v>2.9074074074074075E-2</v>
      </c>
      <c r="F44" s="149">
        <v>22.5</v>
      </c>
      <c r="G44" s="312">
        <v>183</v>
      </c>
      <c r="H44" s="316"/>
      <c r="I44" s="97"/>
      <c r="J44" s="97"/>
    </row>
    <row r="45" spans="1:17" x14ac:dyDescent="0.2">
      <c r="A45" s="339">
        <v>44750</v>
      </c>
      <c r="B45" s="593" t="s">
        <v>296</v>
      </c>
      <c r="C45" s="598"/>
      <c r="D45" s="340">
        <v>43.37</v>
      </c>
      <c r="E45" s="341">
        <v>0.11723379629629631</v>
      </c>
      <c r="F45" s="342">
        <v>15.41</v>
      </c>
      <c r="G45" s="343">
        <v>621</v>
      </c>
      <c r="H45" s="344"/>
      <c r="I45" s="97"/>
      <c r="J45" s="97"/>
    </row>
    <row r="46" spans="1:17" x14ac:dyDescent="0.2">
      <c r="A46" s="339">
        <v>44751</v>
      </c>
      <c r="B46" s="594"/>
      <c r="C46" s="599"/>
      <c r="D46" s="340">
        <v>76.23</v>
      </c>
      <c r="E46" s="341">
        <v>0.21270833333333336</v>
      </c>
      <c r="F46" s="342">
        <v>14.93</v>
      </c>
      <c r="G46" s="343">
        <v>1387</v>
      </c>
      <c r="H46" s="344"/>
      <c r="I46" s="97"/>
      <c r="J46" s="97"/>
    </row>
    <row r="47" spans="1:17" x14ac:dyDescent="0.2">
      <c r="A47" s="339">
        <v>44752</v>
      </c>
      <c r="B47" s="594"/>
      <c r="C47" s="599"/>
      <c r="D47" s="340">
        <v>100.59</v>
      </c>
      <c r="E47" s="341">
        <v>0.2824652777777778</v>
      </c>
      <c r="F47" s="342">
        <v>14.83</v>
      </c>
      <c r="G47" s="343">
        <v>1725</v>
      </c>
      <c r="H47" s="344"/>
      <c r="I47" s="97"/>
      <c r="J47" s="97"/>
    </row>
    <row r="48" spans="1:17" x14ac:dyDescent="0.2">
      <c r="A48" s="339">
        <v>44753</v>
      </c>
      <c r="B48" s="594"/>
      <c r="C48" s="599"/>
      <c r="D48" s="340">
        <v>78.069999999999993</v>
      </c>
      <c r="E48" s="341">
        <v>0.22108796296296296</v>
      </c>
      <c r="F48" s="342">
        <v>14.71</v>
      </c>
      <c r="G48" s="343">
        <v>1135</v>
      </c>
      <c r="H48" s="344"/>
      <c r="I48" s="97"/>
      <c r="J48" s="97"/>
    </row>
    <row r="49" spans="1:14" ht="15" x14ac:dyDescent="0.25">
      <c r="A49" s="339">
        <v>44754</v>
      </c>
      <c r="B49" s="600"/>
      <c r="C49" s="601"/>
      <c r="D49" s="340">
        <v>75.61</v>
      </c>
      <c r="E49" s="341">
        <v>0.21518518518518517</v>
      </c>
      <c r="F49" s="342">
        <v>14.64</v>
      </c>
      <c r="G49" s="343">
        <v>1280</v>
      </c>
      <c r="H49" s="345"/>
      <c r="I49" s="96"/>
      <c r="J49" s="97"/>
    </row>
    <row r="50" spans="1:14" x14ac:dyDescent="0.2">
      <c r="A50" s="130">
        <v>44767</v>
      </c>
      <c r="B50" s="112"/>
      <c r="C50" s="189"/>
      <c r="D50" s="51">
        <v>8.56</v>
      </c>
      <c r="E50" s="52">
        <v>2.1168981481481483E-2</v>
      </c>
      <c r="F50" s="149">
        <v>16.850000000000001</v>
      </c>
      <c r="G50" s="312">
        <v>124</v>
      </c>
      <c r="H50" s="316"/>
      <c r="I50" s="97"/>
      <c r="J50" s="97"/>
    </row>
    <row r="51" spans="1:14" x14ac:dyDescent="0.2">
      <c r="A51" s="130">
        <v>44770</v>
      </c>
      <c r="B51" s="112"/>
      <c r="C51" s="189"/>
      <c r="D51" s="51">
        <v>15.77</v>
      </c>
      <c r="E51" s="52">
        <v>7.2997685185185179E-2</v>
      </c>
      <c r="F51" s="149">
        <v>9</v>
      </c>
      <c r="G51" s="312">
        <v>239</v>
      </c>
      <c r="H51" s="316" t="s">
        <v>244</v>
      </c>
      <c r="I51" s="97"/>
      <c r="J51" s="97"/>
    </row>
    <row r="52" spans="1:14" x14ac:dyDescent="0.2">
      <c r="A52" s="130">
        <v>44774</v>
      </c>
      <c r="B52" s="112"/>
      <c r="C52" s="189"/>
      <c r="D52" s="51">
        <v>24.77</v>
      </c>
      <c r="E52" s="52">
        <v>4.4571759259259262E-2</v>
      </c>
      <c r="F52" s="149">
        <v>23.16</v>
      </c>
      <c r="G52" s="312">
        <v>234</v>
      </c>
      <c r="H52" s="316"/>
      <c r="I52" s="97"/>
      <c r="J52" s="97"/>
    </row>
    <row r="53" spans="1:14" x14ac:dyDescent="0.2">
      <c r="A53" s="130">
        <v>44775</v>
      </c>
      <c r="B53" s="112"/>
      <c r="C53" s="51"/>
      <c r="D53" s="51">
        <v>27.73</v>
      </c>
      <c r="E53" s="52">
        <v>5.3055555555555557E-2</v>
      </c>
      <c r="F53" s="149">
        <v>21.78</v>
      </c>
      <c r="G53" s="312">
        <v>281</v>
      </c>
      <c r="H53" s="316"/>
      <c r="I53" s="97"/>
      <c r="J53" s="98"/>
    </row>
    <row r="54" spans="1:14" ht="12.75" customHeight="1" x14ac:dyDescent="0.2">
      <c r="A54" s="130">
        <v>44776</v>
      </c>
      <c r="B54" s="112"/>
      <c r="C54" s="189"/>
      <c r="D54" s="51">
        <v>64.37</v>
      </c>
      <c r="E54" s="52">
        <v>0.1292939814814815</v>
      </c>
      <c r="F54" s="149">
        <v>20.74</v>
      </c>
      <c r="G54" s="312">
        <v>734</v>
      </c>
      <c r="H54" s="316"/>
      <c r="I54" s="97"/>
      <c r="J54" s="97"/>
      <c r="N54" s="13"/>
    </row>
    <row r="55" spans="1:14" ht="15" x14ac:dyDescent="0.25">
      <c r="A55" s="130">
        <v>44777</v>
      </c>
      <c r="B55" s="112"/>
      <c r="C55" s="189"/>
      <c r="D55" s="51">
        <v>22.6</v>
      </c>
      <c r="E55" s="52">
        <v>4.7500000000000007E-2</v>
      </c>
      <c r="F55" s="149">
        <v>19.829999999999998</v>
      </c>
      <c r="G55" s="312">
        <v>245</v>
      </c>
      <c r="H55" s="318"/>
      <c r="I55" s="96"/>
      <c r="J55" s="249"/>
    </row>
    <row r="56" spans="1:14" ht="12.75" customHeight="1" x14ac:dyDescent="0.2">
      <c r="A56" s="130">
        <v>44781</v>
      </c>
      <c r="B56" s="112"/>
      <c r="C56" s="189"/>
      <c r="D56" s="51">
        <v>24.75</v>
      </c>
      <c r="E56" s="52">
        <v>4.9791666666666672E-2</v>
      </c>
      <c r="F56" s="149">
        <v>20.72</v>
      </c>
      <c r="G56" s="312">
        <v>171</v>
      </c>
      <c r="H56" s="316"/>
      <c r="I56" s="97"/>
    </row>
    <row r="57" spans="1:14" x14ac:dyDescent="0.2">
      <c r="A57" s="130">
        <v>44784</v>
      </c>
      <c r="B57" s="112"/>
      <c r="C57" s="189"/>
      <c r="D57" s="51">
        <v>51.77</v>
      </c>
      <c r="E57" s="52">
        <v>0.12796296296296297</v>
      </c>
      <c r="F57" s="149">
        <v>16.850000000000001</v>
      </c>
      <c r="G57" s="312">
        <v>518</v>
      </c>
      <c r="H57" s="316"/>
      <c r="I57" s="97"/>
    </row>
    <row r="58" spans="1:14" x14ac:dyDescent="0.2">
      <c r="A58" s="130">
        <v>44788</v>
      </c>
      <c r="B58" s="112"/>
      <c r="C58" s="189"/>
      <c r="D58" s="51">
        <v>13.75</v>
      </c>
      <c r="E58" s="52">
        <v>2.9027777777777777E-2</v>
      </c>
      <c r="F58" s="149">
        <v>19.75</v>
      </c>
      <c r="G58" s="312">
        <v>149</v>
      </c>
      <c r="H58" s="316"/>
      <c r="I58" s="100"/>
    </row>
    <row r="59" spans="1:14" x14ac:dyDescent="0.2">
      <c r="A59" s="130">
        <v>44791</v>
      </c>
      <c r="B59" s="112"/>
      <c r="C59" s="189"/>
      <c r="D59" s="51">
        <v>63.46</v>
      </c>
      <c r="E59" s="52">
        <v>0.14800925925925926</v>
      </c>
      <c r="F59" s="149">
        <v>17.86</v>
      </c>
      <c r="G59" s="312">
        <v>648</v>
      </c>
      <c r="H59" s="316"/>
      <c r="I59" s="97"/>
      <c r="J59" s="97"/>
    </row>
    <row r="60" spans="1:14" ht="12.75" customHeight="1" x14ac:dyDescent="0.2">
      <c r="A60" s="130">
        <v>44799</v>
      </c>
      <c r="B60" s="112"/>
      <c r="C60" s="189"/>
      <c r="D60" s="51">
        <v>17.850000000000001</v>
      </c>
      <c r="E60" s="52">
        <v>8.0057870370370363E-2</v>
      </c>
      <c r="F60" s="149">
        <v>9.2899999999999991</v>
      </c>
      <c r="G60" s="312">
        <v>215</v>
      </c>
      <c r="H60" s="316" t="s">
        <v>244</v>
      </c>
      <c r="I60" s="97"/>
      <c r="J60" s="134"/>
    </row>
    <row r="61" spans="1:14" x14ac:dyDescent="0.2">
      <c r="A61" s="130">
        <v>44802</v>
      </c>
      <c r="B61" s="112"/>
      <c r="C61" s="189"/>
      <c r="D61" s="51">
        <v>15.83</v>
      </c>
      <c r="E61" s="52">
        <v>3.0868055555555555E-2</v>
      </c>
      <c r="F61" s="149">
        <v>21.37</v>
      </c>
      <c r="G61" s="312">
        <v>191</v>
      </c>
      <c r="H61" s="316"/>
      <c r="I61" s="97"/>
      <c r="J61" s="97"/>
    </row>
    <row r="62" spans="1:14" x14ac:dyDescent="0.2">
      <c r="A62" s="130">
        <v>44803</v>
      </c>
      <c r="B62" s="112"/>
      <c r="C62" s="189"/>
      <c r="D62" s="51">
        <v>30.32</v>
      </c>
      <c r="E62" s="52">
        <v>0.13143518518518518</v>
      </c>
      <c r="F62" s="149">
        <v>9.61</v>
      </c>
      <c r="G62" s="312">
        <v>196</v>
      </c>
      <c r="H62" s="316" t="s">
        <v>244</v>
      </c>
      <c r="J62" s="97"/>
    </row>
    <row r="63" spans="1:14" x14ac:dyDescent="0.2">
      <c r="A63" s="130">
        <v>44805</v>
      </c>
      <c r="B63" s="112"/>
      <c r="C63" s="189"/>
      <c r="D63" s="51">
        <v>20.79</v>
      </c>
      <c r="E63" s="52">
        <v>4.6423611111111117E-2</v>
      </c>
      <c r="F63" s="149">
        <v>18.66</v>
      </c>
      <c r="G63" s="312">
        <v>231</v>
      </c>
      <c r="H63" s="316"/>
      <c r="I63" s="97"/>
      <c r="J63" s="97"/>
    </row>
    <row r="64" spans="1:14" x14ac:dyDescent="0.2">
      <c r="A64" s="130">
        <v>44806</v>
      </c>
      <c r="B64" s="112"/>
      <c r="C64" s="189"/>
      <c r="D64" s="51">
        <v>26.31</v>
      </c>
      <c r="E64" s="52">
        <v>5.1238425925925923E-2</v>
      </c>
      <c r="F64" s="149">
        <v>21.4</v>
      </c>
      <c r="G64" s="312">
        <v>275</v>
      </c>
      <c r="H64" s="319"/>
      <c r="I64" s="97"/>
      <c r="J64" s="134"/>
    </row>
    <row r="65" spans="1:10" x14ac:dyDescent="0.2">
      <c r="A65" s="130">
        <v>44808</v>
      </c>
      <c r="B65" s="112"/>
      <c r="C65" s="189"/>
      <c r="D65" s="51">
        <v>14.44</v>
      </c>
      <c r="E65" s="52">
        <v>6.609953703703704E-2</v>
      </c>
      <c r="F65" s="149">
        <v>9.1</v>
      </c>
      <c r="G65" s="312">
        <v>176</v>
      </c>
      <c r="H65" s="316" t="s">
        <v>244</v>
      </c>
      <c r="I65" s="97"/>
      <c r="J65" s="97"/>
    </row>
    <row r="66" spans="1:10" x14ac:dyDescent="0.2">
      <c r="A66" s="130">
        <v>44811</v>
      </c>
      <c r="B66" s="112"/>
      <c r="C66" s="189"/>
      <c r="D66" s="51">
        <v>63.7</v>
      </c>
      <c r="E66" s="52">
        <v>0.12672453703703704</v>
      </c>
      <c r="F66" s="149">
        <v>20.94</v>
      </c>
      <c r="G66" s="312">
        <v>714</v>
      </c>
      <c r="H66" s="316"/>
      <c r="I66" s="97"/>
      <c r="J66" s="97"/>
    </row>
    <row r="67" spans="1:10" x14ac:dyDescent="0.2">
      <c r="A67" s="130">
        <v>44812</v>
      </c>
      <c r="B67" s="112"/>
      <c r="C67" s="189"/>
      <c r="D67" s="51">
        <v>15.68</v>
      </c>
      <c r="E67" s="52">
        <v>3.2951388888888891E-2</v>
      </c>
      <c r="F67" s="149">
        <v>19.82</v>
      </c>
      <c r="G67" s="312">
        <v>196</v>
      </c>
      <c r="H67" s="316"/>
      <c r="I67" s="97"/>
      <c r="J67" s="97"/>
    </row>
    <row r="68" spans="1:10" x14ac:dyDescent="0.2">
      <c r="A68" s="130">
        <v>44820</v>
      </c>
      <c r="B68" s="112"/>
      <c r="C68" s="189"/>
      <c r="D68" s="51">
        <v>68.06</v>
      </c>
      <c r="E68" s="52">
        <v>0.15636574074074075</v>
      </c>
      <c r="F68" s="149">
        <v>18.13</v>
      </c>
      <c r="G68" s="312">
        <v>800</v>
      </c>
      <c r="H68" s="316"/>
      <c r="I68" s="97"/>
      <c r="J68" s="97"/>
    </row>
    <row r="69" spans="1:10" x14ac:dyDescent="0.2">
      <c r="A69" s="130">
        <v>44825</v>
      </c>
      <c r="B69" s="112"/>
      <c r="C69" s="189"/>
      <c r="D69" s="51">
        <v>19.670000000000002</v>
      </c>
      <c r="E69" s="52">
        <v>4.3576388888888894E-2</v>
      </c>
      <c r="F69" s="149">
        <v>18.809999999999999</v>
      </c>
      <c r="G69" s="312">
        <v>225</v>
      </c>
      <c r="H69" s="316"/>
    </row>
    <row r="70" spans="1:10" x14ac:dyDescent="0.2">
      <c r="A70" s="130">
        <v>44826</v>
      </c>
      <c r="B70" s="112"/>
      <c r="C70" s="189"/>
      <c r="D70" s="51">
        <v>21.3</v>
      </c>
      <c r="E70" s="52">
        <v>0.10525462962962963</v>
      </c>
      <c r="F70" s="149">
        <v>8.43</v>
      </c>
      <c r="G70" s="312">
        <v>50</v>
      </c>
      <c r="H70" s="316" t="s">
        <v>244</v>
      </c>
    </row>
    <row r="71" spans="1:10" x14ac:dyDescent="0.2">
      <c r="A71" s="130">
        <v>44827</v>
      </c>
      <c r="B71" s="112"/>
      <c r="C71" s="189"/>
      <c r="D71" s="51">
        <v>23.36</v>
      </c>
      <c r="E71" s="52">
        <v>0.10693287037037037</v>
      </c>
      <c r="F71" s="149">
        <v>9.1</v>
      </c>
      <c r="G71" s="312">
        <v>104</v>
      </c>
      <c r="H71" s="316" t="s">
        <v>244</v>
      </c>
    </row>
    <row r="72" spans="1:10" x14ac:dyDescent="0.2">
      <c r="A72" s="130">
        <v>44828</v>
      </c>
      <c r="B72" s="112"/>
      <c r="C72" s="189"/>
      <c r="D72" s="51">
        <v>32.729999999999997</v>
      </c>
      <c r="E72" s="52">
        <v>0.12607638888888889</v>
      </c>
      <c r="F72" s="149">
        <v>10.81</v>
      </c>
      <c r="G72" s="312">
        <v>72</v>
      </c>
      <c r="H72" s="316" t="s">
        <v>244</v>
      </c>
    </row>
    <row r="73" spans="1:10" x14ac:dyDescent="0.2">
      <c r="A73" s="130">
        <v>44833</v>
      </c>
      <c r="B73" s="112"/>
      <c r="C73" s="189"/>
      <c r="D73" s="51">
        <v>19.600000000000001</v>
      </c>
      <c r="E73" s="52">
        <v>4.3171296296296298E-2</v>
      </c>
      <c r="F73" s="149">
        <v>17.5</v>
      </c>
      <c r="G73" s="312">
        <v>210</v>
      </c>
      <c r="H73" s="316"/>
      <c r="I73" s="33"/>
    </row>
    <row r="74" spans="1:10" x14ac:dyDescent="0.2">
      <c r="A74" s="130">
        <v>44834</v>
      </c>
      <c r="B74" s="112"/>
      <c r="C74" s="189"/>
      <c r="D74" s="51">
        <v>19.38</v>
      </c>
      <c r="E74" s="52">
        <v>3.9039351851851853E-2</v>
      </c>
      <c r="F74" s="149">
        <v>20.68</v>
      </c>
      <c r="G74" s="312">
        <v>213</v>
      </c>
      <c r="H74" s="316"/>
    </row>
    <row r="75" spans="1:10" x14ac:dyDescent="0.2">
      <c r="A75" s="130">
        <v>44841</v>
      </c>
      <c r="B75" s="112"/>
      <c r="C75" s="189"/>
      <c r="D75" s="51">
        <v>13.74</v>
      </c>
      <c r="E75" s="52">
        <v>3.9780092592592589E-2</v>
      </c>
      <c r="F75" s="149">
        <v>14.39</v>
      </c>
      <c r="G75" s="312">
        <v>336</v>
      </c>
      <c r="H75" s="316"/>
    </row>
    <row r="76" spans="1:10" x14ac:dyDescent="0.2">
      <c r="A76" s="130">
        <v>44842</v>
      </c>
      <c r="B76" s="112"/>
      <c r="C76" s="189"/>
      <c r="D76" s="51">
        <v>64.66</v>
      </c>
      <c r="E76" s="52">
        <v>0.11912037037037038</v>
      </c>
      <c r="F76" s="149">
        <v>22.61</v>
      </c>
      <c r="G76" s="312">
        <v>1235</v>
      </c>
      <c r="H76" s="316"/>
    </row>
    <row r="77" spans="1:10" x14ac:dyDescent="0.2">
      <c r="A77" s="130">
        <v>44845</v>
      </c>
      <c r="B77" s="112"/>
      <c r="C77" s="189"/>
      <c r="D77" s="51">
        <v>22.1</v>
      </c>
      <c r="E77" s="52">
        <v>5.2777777777777778E-2</v>
      </c>
      <c r="F77" s="149">
        <v>16.399999999999999</v>
      </c>
      <c r="G77" s="312">
        <v>280</v>
      </c>
      <c r="H77" s="316"/>
    </row>
    <row r="78" spans="1:10" x14ac:dyDescent="0.2">
      <c r="A78" s="130">
        <v>44846</v>
      </c>
      <c r="B78" s="112"/>
      <c r="C78" s="189"/>
      <c r="D78" s="51">
        <v>18.48</v>
      </c>
      <c r="E78" s="52">
        <v>3.4328703703703702E-2</v>
      </c>
      <c r="F78" s="149">
        <v>22.43</v>
      </c>
      <c r="G78" s="312">
        <v>191</v>
      </c>
      <c r="H78" s="316"/>
    </row>
    <row r="79" spans="1:10" x14ac:dyDescent="0.2">
      <c r="A79" s="130">
        <v>44851</v>
      </c>
      <c r="B79" s="112"/>
      <c r="C79" s="189"/>
      <c r="D79" s="51">
        <v>19.38</v>
      </c>
      <c r="E79" s="52">
        <v>3.9328703703703706E-2</v>
      </c>
      <c r="F79" s="149">
        <v>20.53</v>
      </c>
      <c r="G79" s="312">
        <v>221</v>
      </c>
      <c r="H79" s="316"/>
    </row>
    <row r="80" spans="1:10" x14ac:dyDescent="0.2">
      <c r="A80" s="130">
        <v>44852</v>
      </c>
      <c r="B80" s="112"/>
      <c r="C80" s="189"/>
      <c r="D80" s="51">
        <v>15.74</v>
      </c>
      <c r="E80" s="52">
        <v>3.3194444444444443E-2</v>
      </c>
      <c r="F80" s="149">
        <v>20.18</v>
      </c>
      <c r="G80" s="312">
        <v>203</v>
      </c>
      <c r="H80" s="195"/>
    </row>
    <row r="81" spans="1:10" x14ac:dyDescent="0.2">
      <c r="A81" s="130">
        <v>44853</v>
      </c>
      <c r="B81" s="112"/>
      <c r="C81" s="189"/>
      <c r="D81" s="51">
        <v>18.53</v>
      </c>
      <c r="E81" s="52">
        <v>3.4606481481481481E-2</v>
      </c>
      <c r="F81" s="149">
        <v>22.32</v>
      </c>
      <c r="G81" s="312">
        <v>190</v>
      </c>
      <c r="H81" s="316"/>
    </row>
    <row r="82" spans="1:10" x14ac:dyDescent="0.2">
      <c r="A82" s="130">
        <v>44854</v>
      </c>
      <c r="B82" s="112"/>
      <c r="C82" s="189"/>
      <c r="D82" s="51">
        <v>19.48</v>
      </c>
      <c r="E82" s="52">
        <v>3.9328703703703706E-2</v>
      </c>
      <c r="F82" s="149">
        <v>20.64</v>
      </c>
      <c r="G82" s="312">
        <v>230</v>
      </c>
      <c r="H82" s="316"/>
    </row>
    <row r="83" spans="1:10" x14ac:dyDescent="0.2">
      <c r="A83" s="130">
        <v>44856</v>
      </c>
      <c r="B83" s="112"/>
      <c r="C83" s="189"/>
      <c r="D83" s="51">
        <v>54.1</v>
      </c>
      <c r="E83" s="52">
        <v>0.11630787037037038</v>
      </c>
      <c r="F83" s="149">
        <v>19.38</v>
      </c>
      <c r="G83" s="312">
        <v>565</v>
      </c>
      <c r="H83" s="316"/>
    </row>
    <row r="84" spans="1:10" ht="12" customHeight="1" x14ac:dyDescent="0.2">
      <c r="A84" s="130">
        <v>44859</v>
      </c>
      <c r="B84" s="112"/>
      <c r="C84" s="189"/>
      <c r="D84" s="51">
        <v>30.21</v>
      </c>
      <c r="E84" s="52">
        <v>6.2013888888888889E-2</v>
      </c>
      <c r="F84" s="149">
        <v>20.3</v>
      </c>
      <c r="G84" s="312">
        <v>367</v>
      </c>
      <c r="H84" s="316"/>
    </row>
    <row r="85" spans="1:10" x14ac:dyDescent="0.2">
      <c r="A85" s="130">
        <v>44860</v>
      </c>
      <c r="B85" s="112"/>
      <c r="C85" s="189"/>
      <c r="D85" s="51">
        <v>20.91</v>
      </c>
      <c r="E85" s="52">
        <v>4.0462962962962964E-2</v>
      </c>
      <c r="F85" s="149">
        <v>21.54</v>
      </c>
      <c r="G85" s="312">
        <v>214</v>
      </c>
      <c r="H85" s="316"/>
    </row>
    <row r="86" spans="1:10" x14ac:dyDescent="0.2">
      <c r="A86" s="130">
        <v>44868</v>
      </c>
      <c r="B86" s="112"/>
      <c r="C86" s="189"/>
      <c r="D86" s="51">
        <v>19.54</v>
      </c>
      <c r="E86" s="52">
        <v>4.0972222222222222E-2</v>
      </c>
      <c r="F86" s="149">
        <v>19.87</v>
      </c>
      <c r="G86" s="312">
        <v>242</v>
      </c>
      <c r="H86" s="316"/>
    </row>
    <row r="87" spans="1:10" x14ac:dyDescent="0.2">
      <c r="A87" s="130">
        <v>44872</v>
      </c>
      <c r="B87" s="112"/>
      <c r="C87" s="189"/>
      <c r="D87" s="51">
        <v>54.47</v>
      </c>
      <c r="E87" s="52">
        <v>0.13187499999999999</v>
      </c>
      <c r="F87" s="149">
        <v>17.21</v>
      </c>
      <c r="G87" s="312">
        <v>596</v>
      </c>
      <c r="H87" s="316"/>
    </row>
    <row r="88" spans="1:10" x14ac:dyDescent="0.2">
      <c r="A88" s="130">
        <v>44875</v>
      </c>
      <c r="B88" s="112"/>
      <c r="C88" s="189"/>
      <c r="D88" s="51">
        <v>28.4</v>
      </c>
      <c r="E88" s="52">
        <v>5.6307870370370362E-2</v>
      </c>
      <c r="F88" s="149">
        <v>20.74</v>
      </c>
      <c r="G88" s="312">
        <v>326</v>
      </c>
      <c r="H88" s="316"/>
    </row>
    <row r="89" spans="1:10" x14ac:dyDescent="0.2">
      <c r="A89" s="130">
        <v>44877</v>
      </c>
      <c r="B89" s="112"/>
      <c r="C89" s="189"/>
      <c r="D89" s="51">
        <v>58.15</v>
      </c>
      <c r="E89" s="52">
        <v>0.1332986111111111</v>
      </c>
      <c r="F89" s="149">
        <v>18.170000000000002</v>
      </c>
      <c r="G89" s="312">
        <v>1030</v>
      </c>
      <c r="H89" s="316"/>
    </row>
    <row r="90" spans="1:10" x14ac:dyDescent="0.2">
      <c r="A90" s="130">
        <v>44879</v>
      </c>
      <c r="B90" s="112"/>
      <c r="C90" s="189"/>
      <c r="D90" s="51">
        <v>13.01</v>
      </c>
      <c r="E90" s="52">
        <v>2.8530092592592593E-2</v>
      </c>
      <c r="F90" s="149">
        <v>18.989999999999998</v>
      </c>
      <c r="G90" s="312">
        <v>157</v>
      </c>
      <c r="H90" s="316"/>
    </row>
    <row r="91" spans="1:10" x14ac:dyDescent="0.2">
      <c r="A91" s="130"/>
      <c r="B91" s="112"/>
      <c r="C91" s="189"/>
      <c r="D91" s="51"/>
      <c r="E91" s="52"/>
      <c r="F91" s="149"/>
      <c r="G91" s="312"/>
      <c r="H91" s="316"/>
    </row>
    <row r="92" spans="1:10" x14ac:dyDescent="0.2">
      <c r="A92" s="130"/>
      <c r="B92" s="112"/>
      <c r="C92" s="189"/>
      <c r="D92" s="51"/>
      <c r="E92" s="52"/>
      <c r="F92" s="149"/>
      <c r="G92" s="312"/>
      <c r="H92" s="316"/>
    </row>
    <row r="93" spans="1:10" x14ac:dyDescent="0.2">
      <c r="A93" s="130"/>
      <c r="B93" s="112"/>
      <c r="C93" s="189"/>
      <c r="D93" s="51"/>
      <c r="E93" s="52"/>
      <c r="F93" s="149"/>
      <c r="G93" s="312"/>
      <c r="H93" s="316"/>
    </row>
    <row r="94" spans="1:10" x14ac:dyDescent="0.2">
      <c r="A94" s="130"/>
      <c r="B94" s="112"/>
      <c r="C94" s="189"/>
      <c r="D94" s="51"/>
      <c r="E94" s="52"/>
      <c r="F94" s="149"/>
      <c r="G94" s="312"/>
      <c r="H94" s="316"/>
    </row>
    <row r="95" spans="1:10" x14ac:dyDescent="0.2">
      <c r="A95" s="130"/>
      <c r="B95" s="112"/>
      <c r="C95" s="189"/>
      <c r="D95" s="51"/>
      <c r="E95" s="52"/>
      <c r="F95" s="149"/>
      <c r="G95" s="312"/>
      <c r="H95" s="316"/>
    </row>
    <row r="96" spans="1:10" x14ac:dyDescent="0.2">
      <c r="A96" s="130"/>
      <c r="B96" s="112"/>
      <c r="C96" s="189"/>
      <c r="D96" s="51"/>
      <c r="E96" s="52"/>
      <c r="F96" s="149"/>
      <c r="G96" s="312"/>
      <c r="H96" s="316"/>
      <c r="J96" s="13"/>
    </row>
    <row r="97" spans="1:14" x14ac:dyDescent="0.2">
      <c r="A97" s="130"/>
      <c r="B97" s="112"/>
      <c r="C97" s="189"/>
      <c r="D97" s="51"/>
      <c r="E97" s="52"/>
      <c r="F97" s="149"/>
      <c r="G97" s="312"/>
      <c r="H97" s="316"/>
    </row>
    <row r="98" spans="1:14" x14ac:dyDescent="0.2">
      <c r="A98" s="130"/>
      <c r="B98" s="112"/>
      <c r="C98" s="189"/>
      <c r="D98" s="51"/>
      <c r="E98" s="52"/>
      <c r="F98" s="149"/>
      <c r="G98" s="312"/>
      <c r="H98" s="316"/>
      <c r="I98" s="33"/>
      <c r="K98" s="33"/>
      <c r="L98" s="33"/>
      <c r="M98" s="33"/>
      <c r="N98" s="33"/>
    </row>
    <row r="99" spans="1:14" x14ac:dyDescent="0.2">
      <c r="A99" s="130"/>
      <c r="B99" s="112"/>
      <c r="C99" s="189"/>
      <c r="D99" s="51"/>
      <c r="E99" s="52"/>
      <c r="F99" s="149"/>
      <c r="G99" s="312"/>
      <c r="H99" s="316"/>
    </row>
    <row r="100" spans="1:14" x14ac:dyDescent="0.2">
      <c r="A100" s="130"/>
      <c r="B100" s="112"/>
      <c r="C100" s="189"/>
      <c r="D100" s="51"/>
      <c r="E100" s="52"/>
      <c r="F100" s="149"/>
      <c r="G100" s="312"/>
      <c r="H100" s="316"/>
    </row>
    <row r="101" spans="1:14" x14ac:dyDescent="0.2">
      <c r="A101" s="130"/>
      <c r="B101" s="112"/>
      <c r="C101" s="189"/>
      <c r="D101" s="51"/>
      <c r="E101" s="52"/>
      <c r="F101" s="149"/>
      <c r="G101" s="312"/>
      <c r="H101" s="316"/>
    </row>
    <row r="102" spans="1:14" x14ac:dyDescent="0.2">
      <c r="A102" s="130"/>
      <c r="B102" s="112"/>
      <c r="C102" s="189"/>
      <c r="D102" s="51"/>
      <c r="E102" s="52"/>
      <c r="F102" s="149"/>
      <c r="G102" s="312"/>
      <c r="H102" s="316"/>
    </row>
    <row r="103" spans="1:14" x14ac:dyDescent="0.2">
      <c r="A103" s="130"/>
      <c r="B103" s="112"/>
      <c r="C103" s="189"/>
      <c r="D103" s="51"/>
      <c r="E103" s="52"/>
      <c r="F103" s="149"/>
      <c r="G103" s="312"/>
      <c r="H103" s="316"/>
    </row>
    <row r="104" spans="1:14" x14ac:dyDescent="0.2">
      <c r="A104" s="130"/>
      <c r="B104" s="112"/>
      <c r="C104" s="189"/>
      <c r="D104" s="51"/>
      <c r="E104" s="52"/>
      <c r="F104" s="149"/>
      <c r="G104" s="312"/>
      <c r="H104" s="316"/>
    </row>
    <row r="105" spans="1:14" x14ac:dyDescent="0.2">
      <c r="A105" s="130"/>
      <c r="B105" s="112"/>
      <c r="C105" s="189"/>
      <c r="D105" s="51"/>
      <c r="E105" s="52"/>
      <c r="F105" s="149"/>
      <c r="G105" s="312"/>
      <c r="H105" s="316"/>
    </row>
    <row r="106" spans="1:14" x14ac:dyDescent="0.2">
      <c r="A106" s="130"/>
      <c r="B106" s="112"/>
      <c r="C106" s="189"/>
      <c r="D106" s="51"/>
      <c r="E106" s="52"/>
      <c r="F106" s="149"/>
      <c r="G106" s="312"/>
      <c r="H106" s="316"/>
    </row>
    <row r="107" spans="1:14" x14ac:dyDescent="0.2">
      <c r="A107" s="130"/>
      <c r="B107" s="112"/>
      <c r="C107" s="189"/>
      <c r="D107" s="51"/>
      <c r="E107" s="52"/>
      <c r="F107" s="149"/>
      <c r="G107" s="312"/>
      <c r="H107" s="316"/>
    </row>
    <row r="108" spans="1:14" x14ac:dyDescent="0.2">
      <c r="A108" s="130"/>
      <c r="B108" s="112"/>
      <c r="C108" s="189"/>
      <c r="D108" s="51"/>
      <c r="E108" s="52"/>
      <c r="F108" s="149"/>
      <c r="G108" s="312"/>
      <c r="H108" s="316"/>
    </row>
    <row r="109" spans="1:14" x14ac:dyDescent="0.2">
      <c r="A109" s="130"/>
      <c r="B109" s="112"/>
      <c r="C109" s="189"/>
      <c r="D109" s="51"/>
      <c r="E109" s="52"/>
      <c r="F109" s="149"/>
      <c r="G109" s="312"/>
      <c r="H109" s="316"/>
    </row>
    <row r="110" spans="1:14" x14ac:dyDescent="0.2">
      <c r="A110" s="130"/>
      <c r="B110" s="112"/>
      <c r="C110" s="189"/>
      <c r="D110" s="51"/>
      <c r="E110" s="52"/>
      <c r="F110" s="149"/>
      <c r="G110" s="312"/>
      <c r="H110" s="316"/>
    </row>
    <row r="111" spans="1:14" x14ac:dyDescent="0.2">
      <c r="A111" s="130"/>
      <c r="B111" s="112"/>
      <c r="C111" s="189"/>
      <c r="D111" s="51"/>
      <c r="E111" s="52"/>
      <c r="F111" s="149"/>
      <c r="G111" s="312"/>
      <c r="H111" s="316"/>
    </row>
    <row r="112" spans="1:14" x14ac:dyDescent="0.2">
      <c r="A112" s="130"/>
      <c r="B112" s="112"/>
      <c r="C112" s="189"/>
      <c r="D112" s="51"/>
      <c r="E112" s="52"/>
      <c r="F112" s="149"/>
      <c r="G112" s="312"/>
      <c r="H112" s="316"/>
    </row>
    <row r="113" spans="1:8" x14ac:dyDescent="0.2">
      <c r="A113" s="130"/>
      <c r="B113" s="112"/>
      <c r="C113" s="189"/>
      <c r="D113" s="51"/>
      <c r="E113" s="52"/>
      <c r="F113" s="149"/>
      <c r="G113" s="312"/>
      <c r="H113" s="316"/>
    </row>
    <row r="114" spans="1:8" x14ac:dyDescent="0.2">
      <c r="A114" s="130"/>
      <c r="B114" s="112"/>
      <c r="C114" s="189"/>
      <c r="D114" s="51"/>
      <c r="E114" s="52"/>
      <c r="F114" s="149"/>
      <c r="G114" s="312"/>
      <c r="H114" s="316"/>
    </row>
    <row r="115" spans="1:8" x14ac:dyDescent="0.2">
      <c r="A115" s="130"/>
      <c r="B115" s="112"/>
      <c r="C115" s="189"/>
      <c r="D115" s="51"/>
      <c r="E115" s="52"/>
      <c r="F115" s="149"/>
      <c r="G115" s="312"/>
      <c r="H115" s="316"/>
    </row>
    <row r="116" spans="1:8" x14ac:dyDescent="0.2">
      <c r="A116" s="130"/>
      <c r="B116" s="112"/>
      <c r="C116" s="189"/>
      <c r="D116" s="51"/>
      <c r="E116" s="52"/>
      <c r="F116" s="149"/>
      <c r="G116" s="312"/>
      <c r="H116" s="316"/>
    </row>
    <row r="117" spans="1:8" x14ac:dyDescent="0.2">
      <c r="A117" s="130"/>
      <c r="B117" s="112"/>
      <c r="C117" s="189"/>
      <c r="D117" s="51"/>
      <c r="E117" s="52"/>
      <c r="F117" s="149"/>
      <c r="G117" s="312"/>
      <c r="H117" s="316"/>
    </row>
    <row r="118" spans="1:8" x14ac:dyDescent="0.2">
      <c r="A118" s="130"/>
      <c r="B118" s="112"/>
      <c r="C118" s="189"/>
      <c r="D118" s="51"/>
      <c r="E118" s="52"/>
      <c r="F118" s="149"/>
      <c r="G118" s="312"/>
      <c r="H118" s="316"/>
    </row>
    <row r="119" spans="1:8" x14ac:dyDescent="0.2">
      <c r="A119" s="130"/>
      <c r="B119" s="112"/>
      <c r="C119" s="189"/>
      <c r="D119" s="51"/>
      <c r="E119" s="52"/>
      <c r="F119" s="149"/>
      <c r="G119" s="312"/>
      <c r="H119" s="15"/>
    </row>
    <row r="120" spans="1:8" x14ac:dyDescent="0.2">
      <c r="A120" s="130"/>
      <c r="B120" s="112"/>
      <c r="C120" s="189"/>
      <c r="D120" s="51"/>
      <c r="E120" s="52"/>
      <c r="F120" s="149"/>
      <c r="G120" s="312"/>
      <c r="H120" s="15"/>
    </row>
    <row r="121" spans="1:8" x14ac:dyDescent="0.2">
      <c r="A121" s="130"/>
      <c r="B121" s="112"/>
      <c r="C121" s="189"/>
      <c r="D121" s="51"/>
      <c r="E121" s="52"/>
      <c r="F121" s="149"/>
      <c r="G121" s="312"/>
      <c r="H121" s="15"/>
    </row>
    <row r="122" spans="1:8" x14ac:dyDescent="0.2">
      <c r="A122" s="130"/>
      <c r="B122" s="112"/>
      <c r="C122" s="189"/>
      <c r="D122" s="51"/>
      <c r="E122" s="52"/>
      <c r="F122" s="149"/>
      <c r="G122" s="312"/>
      <c r="H122" s="15"/>
    </row>
    <row r="123" spans="1:8" x14ac:dyDescent="0.2">
      <c r="A123" s="130"/>
      <c r="B123" s="112"/>
      <c r="C123" s="189"/>
      <c r="D123" s="51"/>
      <c r="E123" s="52"/>
      <c r="F123" s="149"/>
      <c r="G123" s="312"/>
      <c r="H123" s="15"/>
    </row>
    <row r="124" spans="1:8" x14ac:dyDescent="0.2">
      <c r="A124" s="130"/>
      <c r="B124" s="112"/>
      <c r="C124" s="189"/>
      <c r="D124" s="51"/>
      <c r="E124" s="52"/>
      <c r="F124" s="149"/>
      <c r="G124" s="312"/>
      <c r="H124" s="15"/>
    </row>
    <row r="125" spans="1:8" x14ac:dyDescent="0.2">
      <c r="A125" s="130"/>
      <c r="B125" s="112"/>
      <c r="C125" s="189"/>
      <c r="D125" s="51"/>
      <c r="E125" s="52"/>
      <c r="F125" s="149"/>
      <c r="G125" s="312"/>
      <c r="H125" s="15"/>
    </row>
    <row r="126" spans="1:8" x14ac:dyDescent="0.2">
      <c r="A126" s="130"/>
      <c r="B126" s="112"/>
      <c r="C126" s="189"/>
      <c r="D126" s="51"/>
      <c r="E126" s="52"/>
      <c r="F126" s="149"/>
      <c r="G126" s="312"/>
      <c r="H126" s="15"/>
    </row>
    <row r="127" spans="1:8" x14ac:dyDescent="0.2">
      <c r="A127" s="130"/>
      <c r="B127" s="112"/>
      <c r="C127" s="189"/>
      <c r="D127" s="51"/>
      <c r="E127" s="52"/>
      <c r="F127" s="149"/>
      <c r="G127" s="312"/>
      <c r="H127" s="15"/>
    </row>
    <row r="128" spans="1:8" x14ac:dyDescent="0.2">
      <c r="A128" s="130"/>
      <c r="B128" s="112"/>
      <c r="C128" s="189"/>
      <c r="D128" s="51"/>
      <c r="E128" s="52"/>
      <c r="F128" s="149"/>
      <c r="G128" s="312"/>
      <c r="H128" s="15"/>
    </row>
    <row r="129" spans="1:9" x14ac:dyDescent="0.2">
      <c r="A129" s="130"/>
      <c r="B129" s="112"/>
      <c r="C129" s="189"/>
      <c r="D129" s="51"/>
      <c r="E129" s="52"/>
      <c r="F129" s="149"/>
      <c r="G129" s="312"/>
      <c r="H129" s="15"/>
    </row>
    <row r="130" spans="1:9" x14ac:dyDescent="0.2">
      <c r="A130" s="130"/>
      <c r="B130" s="112"/>
      <c r="C130" s="189"/>
      <c r="D130" s="51"/>
      <c r="E130" s="52"/>
      <c r="F130" s="149"/>
      <c r="G130" s="312"/>
      <c r="H130" s="15"/>
    </row>
    <row r="131" spans="1:9" x14ac:dyDescent="0.2">
      <c r="A131" s="130"/>
      <c r="B131" s="112"/>
      <c r="C131" s="189"/>
      <c r="D131" s="51"/>
      <c r="E131" s="52"/>
      <c r="F131" s="149"/>
      <c r="G131" s="312"/>
      <c r="H131" s="15"/>
    </row>
    <row r="132" spans="1:9" x14ac:dyDescent="0.2">
      <c r="A132" s="130"/>
      <c r="B132" s="112"/>
      <c r="C132" s="189"/>
      <c r="D132" s="51"/>
      <c r="E132" s="52"/>
      <c r="F132" s="149"/>
      <c r="G132" s="312"/>
      <c r="H132" s="15"/>
    </row>
    <row r="133" spans="1:9" x14ac:dyDescent="0.2">
      <c r="A133" s="130"/>
      <c r="B133" s="112"/>
      <c r="C133" s="189"/>
      <c r="D133" s="51"/>
      <c r="E133" s="52"/>
      <c r="F133" s="149"/>
      <c r="G133" s="312"/>
      <c r="H133" s="15"/>
    </row>
    <row r="134" spans="1:9" x14ac:dyDescent="0.2">
      <c r="A134" s="130"/>
      <c r="B134" s="112"/>
      <c r="C134" s="189"/>
      <c r="D134" s="51"/>
      <c r="E134" s="52"/>
      <c r="F134" s="149"/>
      <c r="G134" s="312"/>
      <c r="H134" s="15"/>
    </row>
    <row r="135" spans="1:9" x14ac:dyDescent="0.2">
      <c r="A135" s="130"/>
      <c r="B135" s="112"/>
      <c r="C135" s="189"/>
      <c r="D135" s="51"/>
      <c r="E135" s="52"/>
      <c r="F135" s="149"/>
      <c r="G135" s="312"/>
      <c r="H135" s="15"/>
    </row>
    <row r="136" spans="1:9" x14ac:dyDescent="0.2">
      <c r="A136" s="130"/>
      <c r="B136" s="112"/>
      <c r="C136" s="189"/>
      <c r="D136" s="51"/>
      <c r="E136" s="52"/>
      <c r="F136" s="149"/>
      <c r="G136" s="312"/>
      <c r="H136" s="15"/>
    </row>
    <row r="137" spans="1:9" x14ac:dyDescent="0.2">
      <c r="A137" s="130"/>
      <c r="B137" s="112"/>
      <c r="C137" s="189"/>
      <c r="D137" s="51"/>
      <c r="E137" s="52"/>
      <c r="F137" s="149"/>
      <c r="G137" s="312"/>
      <c r="H137" s="15"/>
    </row>
    <row r="138" spans="1:9" x14ac:dyDescent="0.2">
      <c r="A138" s="130"/>
      <c r="B138" s="112"/>
      <c r="C138" s="189"/>
      <c r="D138" s="51"/>
      <c r="E138" s="52"/>
      <c r="F138" s="149"/>
      <c r="G138" s="312"/>
      <c r="H138" s="15"/>
    </row>
    <row r="139" spans="1:9" x14ac:dyDescent="0.2">
      <c r="A139" s="121"/>
      <c r="B139" s="113"/>
      <c r="C139" s="190"/>
      <c r="D139" s="92"/>
      <c r="E139" s="93"/>
      <c r="F139" s="98"/>
      <c r="G139" s="313"/>
      <c r="H139" s="15"/>
    </row>
    <row r="140" spans="1:9" ht="13.5" thickBot="1" x14ac:dyDescent="0.25">
      <c r="A140" s="121"/>
      <c r="B140" s="113"/>
      <c r="C140" s="190"/>
      <c r="D140" s="304"/>
      <c r="E140" s="305"/>
      <c r="F140" s="183"/>
      <c r="G140" s="314"/>
      <c r="H140" s="15"/>
    </row>
    <row r="141" spans="1:9" ht="16.5" thickBot="1" x14ac:dyDescent="0.25">
      <c r="A141" s="187" t="s">
        <v>90</v>
      </c>
      <c r="D141" s="360">
        <f>SUM(D2:D140 )-G157</f>
        <v>2597.4199999999996</v>
      </c>
      <c r="E141" s="306">
        <f>SUM(E2:E140)-F163</f>
        <v>5.8147337962962959</v>
      </c>
      <c r="F141" s="307">
        <f>AVERAGEIF(H2:H140,"&lt;&gt;e",F2:F140)</f>
        <v>19.636790123456795</v>
      </c>
      <c r="G141" s="315">
        <f>SUM(G2:G140)-H163</f>
        <v>32658</v>
      </c>
      <c r="H141" s="15" t="s">
        <v>90</v>
      </c>
      <c r="I141">
        <f>SUM(J2:J120)</f>
        <v>7490</v>
      </c>
    </row>
    <row r="142" spans="1:9" ht="13.5" thickBot="1" x14ac:dyDescent="0.25">
      <c r="I142" s="33">
        <f>I141/D141</f>
        <v>2.8836306796744466</v>
      </c>
    </row>
    <row r="143" spans="1:9" x14ac:dyDescent="0.2">
      <c r="B143" s="259"/>
      <c r="C143" s="588" t="s">
        <v>247</v>
      </c>
      <c r="D143" s="589"/>
      <c r="E143" s="588" t="s">
        <v>248</v>
      </c>
      <c r="F143" s="589"/>
      <c r="G143" s="588" t="s">
        <v>249</v>
      </c>
      <c r="H143" s="589"/>
    </row>
    <row r="144" spans="1:9" ht="13.5" thickBot="1" x14ac:dyDescent="0.25">
      <c r="B144" s="269"/>
      <c r="C144" s="267" t="s">
        <v>203</v>
      </c>
      <c r="D144" s="268" t="s">
        <v>202</v>
      </c>
      <c r="E144" s="267" t="s">
        <v>203</v>
      </c>
      <c r="F144" s="268" t="s">
        <v>202</v>
      </c>
      <c r="G144" s="267" t="s">
        <v>203</v>
      </c>
      <c r="H144" s="268" t="s">
        <v>202</v>
      </c>
    </row>
    <row r="145" spans="2:8" x14ac:dyDescent="0.2">
      <c r="B145" s="270" t="s">
        <v>178</v>
      </c>
      <c r="C145" s="333">
        <f t="shared" ref="C145:C156" si="0">SUMIFS($D$2:$D$140,$A$2:$A$140,"&gt;="&amp;F166,$A$2:$A$140,"&lt;="&amp;G166)</f>
        <v>122</v>
      </c>
      <c r="D145" s="333">
        <f t="shared" ref="D145:D156" si="1">COUNTIFS($A$2:$A$140,"&gt;="&amp;F166,$A$2:$A$140,"&lt;="&amp;G166)</f>
        <v>5</v>
      </c>
      <c r="E145" s="334">
        <f>SUMIFS($D$2:$D$140,$A$2:$A$140,"&lt;="&amp;G166,H2:H140,"")</f>
        <v>122</v>
      </c>
      <c r="F145" s="333">
        <f>COUNTIFS($A$2:$A$140,"&gt;="&amp;F166,$A$2:$A$140,"&lt;="&amp;G166,H2:H140,"")</f>
        <v>5</v>
      </c>
      <c r="G145" s="335">
        <f>SUMIFS($D$2:$D$140,$A$2:$A$140,"&lt;="&amp;G166,H2:H140,"e")</f>
        <v>0</v>
      </c>
      <c r="H145" s="333">
        <f t="shared" ref="H145:H156" si="2">COUNTIFS($A$2:$A$140,"&gt;="&amp;F166,$A$2:$A$140,"&lt;="&amp;G166,$H$2:$H$140,"e")</f>
        <v>0</v>
      </c>
    </row>
    <row r="146" spans="2:8" x14ac:dyDescent="0.2">
      <c r="B146" s="271" t="s">
        <v>179</v>
      </c>
      <c r="C146" s="333">
        <f t="shared" si="0"/>
        <v>148.03</v>
      </c>
      <c r="D146" s="333">
        <f t="shared" si="1"/>
        <v>6</v>
      </c>
      <c r="E146" s="335">
        <f t="shared" ref="E146:E156" si="3">SUMIFS($D$2:$D$140,$A$2:$A$140,"&gt;="&amp;F167,$A$2:$A$140,"&lt;="&amp;G167,$H$2:$H$140,"")</f>
        <v>148.03</v>
      </c>
      <c r="F146" s="333">
        <f t="shared" ref="F146:F156" si="4">COUNTIFS($A$2:$A$140,"&gt;="&amp;F167,$A$2:$A$140,"&lt;="&amp;G167,$H$2:$H$140,"")</f>
        <v>6</v>
      </c>
      <c r="G146" s="333">
        <f t="shared" ref="G146:G156" si="5">SUMIFS($D$2:$D$140,$A$2:$A$140,"&gt;="&amp;F167,$A$2:$A$140,"&lt;="&amp;G167,$H$2:$H$140,"e")</f>
        <v>0</v>
      </c>
      <c r="H146" s="333">
        <f t="shared" si="2"/>
        <v>0</v>
      </c>
    </row>
    <row r="147" spans="2:8" x14ac:dyDescent="0.2">
      <c r="B147" s="271" t="s">
        <v>180</v>
      </c>
      <c r="C147" s="333">
        <f t="shared" si="0"/>
        <v>176.5</v>
      </c>
      <c r="D147" s="333">
        <f t="shared" si="1"/>
        <v>5</v>
      </c>
      <c r="E147" s="335">
        <f t="shared" si="3"/>
        <v>176.5</v>
      </c>
      <c r="F147" s="333">
        <f t="shared" si="4"/>
        <v>5</v>
      </c>
      <c r="G147" s="333">
        <f t="shared" si="5"/>
        <v>0</v>
      </c>
      <c r="H147" s="333">
        <f t="shared" si="2"/>
        <v>0</v>
      </c>
    </row>
    <row r="148" spans="2:8" x14ac:dyDescent="0.2">
      <c r="B148" s="271" t="s">
        <v>181</v>
      </c>
      <c r="C148" s="333">
        <f t="shared" si="0"/>
        <v>174.72</v>
      </c>
      <c r="D148" s="333">
        <f t="shared" si="1"/>
        <v>8</v>
      </c>
      <c r="E148" s="335">
        <f t="shared" si="3"/>
        <v>174.72</v>
      </c>
      <c r="F148" s="333">
        <f t="shared" si="4"/>
        <v>8</v>
      </c>
      <c r="G148" s="333">
        <f t="shared" si="5"/>
        <v>0</v>
      </c>
      <c r="H148" s="333">
        <f t="shared" si="2"/>
        <v>0</v>
      </c>
    </row>
    <row r="149" spans="2:8" x14ac:dyDescent="0.2">
      <c r="B149" s="271" t="s">
        <v>182</v>
      </c>
      <c r="C149" s="333">
        <f t="shared" si="0"/>
        <v>325.62</v>
      </c>
      <c r="D149" s="333">
        <f t="shared" si="1"/>
        <v>10</v>
      </c>
      <c r="E149" s="335">
        <f t="shared" si="3"/>
        <v>325.62</v>
      </c>
      <c r="F149" s="333">
        <f t="shared" si="4"/>
        <v>10</v>
      </c>
      <c r="G149" s="333">
        <f t="shared" si="5"/>
        <v>0</v>
      </c>
      <c r="H149" s="333">
        <f t="shared" si="2"/>
        <v>0</v>
      </c>
    </row>
    <row r="150" spans="2:8" x14ac:dyDescent="0.2">
      <c r="B150" s="271" t="s">
        <v>183</v>
      </c>
      <c r="C150" s="333">
        <f t="shared" si="0"/>
        <v>237.89999999999998</v>
      </c>
      <c r="D150" s="333">
        <f t="shared" si="1"/>
        <v>8</v>
      </c>
      <c r="E150" s="335">
        <f t="shared" si="3"/>
        <v>219.29999999999998</v>
      </c>
      <c r="F150" s="333">
        <f t="shared" si="4"/>
        <v>7</v>
      </c>
      <c r="G150" s="333">
        <f t="shared" si="5"/>
        <v>18.600000000000001</v>
      </c>
      <c r="H150" s="333">
        <f t="shared" si="2"/>
        <v>1</v>
      </c>
    </row>
    <row r="151" spans="2:8" x14ac:dyDescent="0.2">
      <c r="B151" s="271" t="s">
        <v>184</v>
      </c>
      <c r="C151" s="333">
        <f t="shared" si="0"/>
        <v>413.90000000000003</v>
      </c>
      <c r="D151" s="333">
        <f t="shared" si="1"/>
        <v>8</v>
      </c>
      <c r="E151" s="335">
        <f t="shared" si="3"/>
        <v>398.13000000000005</v>
      </c>
      <c r="F151" s="333">
        <f t="shared" si="4"/>
        <v>7</v>
      </c>
      <c r="G151" s="333">
        <f t="shared" si="5"/>
        <v>15.77</v>
      </c>
      <c r="H151" s="333">
        <f t="shared" si="2"/>
        <v>1</v>
      </c>
    </row>
    <row r="152" spans="2:8" x14ac:dyDescent="0.2">
      <c r="B152" s="271" t="s">
        <v>185</v>
      </c>
      <c r="C152" s="333">
        <f t="shared" si="0"/>
        <v>357.2</v>
      </c>
      <c r="D152" s="333">
        <f t="shared" si="1"/>
        <v>11</v>
      </c>
      <c r="E152" s="335">
        <f t="shared" si="3"/>
        <v>309.02999999999997</v>
      </c>
      <c r="F152" s="333">
        <f t="shared" si="4"/>
        <v>9</v>
      </c>
      <c r="G152" s="333">
        <f t="shared" si="5"/>
        <v>48.17</v>
      </c>
      <c r="H152" s="333">
        <f t="shared" si="2"/>
        <v>2</v>
      </c>
    </row>
    <row r="153" spans="2:8" x14ac:dyDescent="0.2">
      <c r="B153" s="271" t="s">
        <v>186</v>
      </c>
      <c r="C153" s="333">
        <f t="shared" si="0"/>
        <v>345.02000000000004</v>
      </c>
      <c r="D153" s="333">
        <f t="shared" si="1"/>
        <v>12</v>
      </c>
      <c r="E153" s="335">
        <f t="shared" si="3"/>
        <v>253.18999999999997</v>
      </c>
      <c r="F153" s="333">
        <f t="shared" si="4"/>
        <v>8</v>
      </c>
      <c r="G153" s="333">
        <f t="shared" si="5"/>
        <v>91.83</v>
      </c>
      <c r="H153" s="333">
        <f t="shared" si="2"/>
        <v>4</v>
      </c>
    </row>
    <row r="154" spans="2:8" x14ac:dyDescent="0.2">
      <c r="B154" s="271" t="s">
        <v>187</v>
      </c>
      <c r="C154" s="333">
        <f t="shared" si="0"/>
        <v>297.33000000000004</v>
      </c>
      <c r="D154" s="333">
        <f t="shared" si="1"/>
        <v>11</v>
      </c>
      <c r="E154" s="335">
        <f t="shared" si="3"/>
        <v>297.33000000000004</v>
      </c>
      <c r="F154" s="333">
        <f t="shared" si="4"/>
        <v>11</v>
      </c>
      <c r="G154" s="333">
        <f t="shared" si="5"/>
        <v>0</v>
      </c>
      <c r="H154" s="333">
        <f t="shared" si="2"/>
        <v>0</v>
      </c>
    </row>
    <row r="155" spans="2:8" x14ac:dyDescent="0.2">
      <c r="B155" s="271" t="s">
        <v>188</v>
      </c>
      <c r="C155" s="333">
        <f t="shared" si="0"/>
        <v>173.57</v>
      </c>
      <c r="D155" s="333">
        <f t="shared" si="1"/>
        <v>5</v>
      </c>
      <c r="E155" s="335">
        <f t="shared" si="3"/>
        <v>173.57</v>
      </c>
      <c r="F155" s="333">
        <f t="shared" si="4"/>
        <v>5</v>
      </c>
      <c r="G155" s="333">
        <f t="shared" si="5"/>
        <v>0</v>
      </c>
      <c r="H155" s="333">
        <f t="shared" si="2"/>
        <v>0</v>
      </c>
    </row>
    <row r="156" spans="2:8" x14ac:dyDescent="0.2">
      <c r="B156" s="271" t="s">
        <v>189</v>
      </c>
      <c r="C156" s="333">
        <f t="shared" si="0"/>
        <v>0</v>
      </c>
      <c r="D156" s="333">
        <f t="shared" si="1"/>
        <v>0</v>
      </c>
      <c r="E156" s="335">
        <f t="shared" si="3"/>
        <v>0</v>
      </c>
      <c r="F156" s="333">
        <f t="shared" si="4"/>
        <v>0</v>
      </c>
      <c r="G156" s="333">
        <f t="shared" si="5"/>
        <v>0</v>
      </c>
      <c r="H156" s="333">
        <f t="shared" si="2"/>
        <v>0</v>
      </c>
    </row>
    <row r="157" spans="2:8" ht="13.5" thickBot="1" x14ac:dyDescent="0.25">
      <c r="B157" s="272" t="s">
        <v>90</v>
      </c>
      <c r="C157" s="336">
        <f>SUM(C145:C156)</f>
        <v>2771.7900000000004</v>
      </c>
      <c r="D157" s="337">
        <f>SUM(D145:D156)</f>
        <v>89</v>
      </c>
      <c r="E157" s="336">
        <f t="shared" ref="E157:H157" si="6">SUM(E145:E156)</f>
        <v>2597.42</v>
      </c>
      <c r="F157" s="337">
        <f t="shared" si="6"/>
        <v>81</v>
      </c>
      <c r="G157" s="336">
        <f t="shared" si="6"/>
        <v>174.37</v>
      </c>
      <c r="H157" s="338">
        <f t="shared" si="6"/>
        <v>8</v>
      </c>
    </row>
    <row r="160" spans="2:8" ht="13.5" thickBot="1" x14ac:dyDescent="0.25"/>
    <row r="161" spans="2:8" ht="13.5" thickBot="1" x14ac:dyDescent="0.25">
      <c r="B161" s="136" t="s">
        <v>195</v>
      </c>
      <c r="C161" s="33">
        <f>AVERAGEIFS(F2:F140,G2:G140,"&lt;500",H2:H140,"")</f>
        <v>20.176935483870967</v>
      </c>
      <c r="E161" s="590" t="s">
        <v>246</v>
      </c>
      <c r="F161" s="591"/>
      <c r="G161" s="591"/>
      <c r="H161" s="592"/>
    </row>
    <row r="162" spans="2:8" x14ac:dyDescent="0.2">
      <c r="B162" s="136" t="s">
        <v>196</v>
      </c>
      <c r="C162" s="33">
        <f>AVERAGEIFS(F2:F140,G2:G140,"&gt;500",G2:G140,"&lt;1000",H2:H140,"&lt;&gt;e")</f>
        <v>18.86272727272727</v>
      </c>
      <c r="E162" s="320" t="s">
        <v>143</v>
      </c>
      <c r="F162" s="253" t="s">
        <v>2</v>
      </c>
      <c r="G162" s="253" t="s">
        <v>3</v>
      </c>
      <c r="H162" s="254" t="s">
        <v>4</v>
      </c>
    </row>
    <row r="163" spans="2:8" ht="13.5" thickBot="1" x14ac:dyDescent="0.25">
      <c r="B163" s="136" t="s">
        <v>194</v>
      </c>
      <c r="C163" s="33">
        <f>AVERAGEIFS(F2:F140,G2:G140,"&gt;1000")</f>
        <v>16.515000000000001</v>
      </c>
      <c r="E163" s="321">
        <f>SUMIFS(D2:D140,H2:H140,"e")</f>
        <v>174.36999999999998</v>
      </c>
      <c r="F163" s="256">
        <f>SUMIFS(E2:E140,H2:$H$140,"e")</f>
        <v>0.74070601851851858</v>
      </c>
      <c r="G163" s="257">
        <f>AVERAGEIF(H2:H140,"e",F2:F140)</f>
        <v>10.0425</v>
      </c>
      <c r="H163" s="258">
        <f>SUMIFS(G2:G140,$H2:H$140,"e")</f>
        <v>1148</v>
      </c>
    </row>
    <row r="164" spans="2:8" ht="13.5" thickBot="1" x14ac:dyDescent="0.25">
      <c r="B164" s="136"/>
      <c r="C164" s="33"/>
    </row>
    <row r="165" spans="2:8" ht="15" thickBot="1" x14ac:dyDescent="0.25">
      <c r="B165" s="286" t="s">
        <v>278</v>
      </c>
      <c r="C165" s="287" t="s">
        <v>279</v>
      </c>
      <c r="D165" s="145"/>
      <c r="E165" s="31">
        <v>2022</v>
      </c>
      <c r="F165" t="s">
        <v>292</v>
      </c>
      <c r="G165" s="303" t="s">
        <v>291</v>
      </c>
    </row>
    <row r="166" spans="2:8" x14ac:dyDescent="0.2">
      <c r="B166" s="281" t="s">
        <v>277</v>
      </c>
      <c r="C166" s="282">
        <f>COUNTIFS($D$2:$D$140,"&lt;10")</f>
        <v>1</v>
      </c>
      <c r="D166" s="145"/>
      <c r="E166" t="s">
        <v>178</v>
      </c>
      <c r="F166" s="130">
        <v>44562</v>
      </c>
      <c r="G166" s="130">
        <v>44592</v>
      </c>
    </row>
    <row r="167" spans="2:8" x14ac:dyDescent="0.2">
      <c r="B167" s="283" t="s">
        <v>274</v>
      </c>
      <c r="C167" s="280">
        <f>COUNTIFS($D$2:$D$140,"&gt;=10",$D$2:$D$140,"&lt;=20")</f>
        <v>32</v>
      </c>
      <c r="D167" s="145"/>
      <c r="E167" t="s">
        <v>179</v>
      </c>
      <c r="F167" s="130">
        <v>44593</v>
      </c>
      <c r="G167" s="130">
        <v>44620</v>
      </c>
    </row>
    <row r="168" spans="2:8" x14ac:dyDescent="0.2">
      <c r="B168" s="283" t="s">
        <v>266</v>
      </c>
      <c r="C168" s="280">
        <f>COUNTIFS($D$2:$D$140,"&gt;=20",$D$2:$D$140,"&lt;=30")</f>
        <v>28</v>
      </c>
      <c r="E168" t="s">
        <v>180</v>
      </c>
      <c r="F168" s="130">
        <v>44621</v>
      </c>
      <c r="G168" s="130">
        <v>44651</v>
      </c>
    </row>
    <row r="169" spans="2:8" x14ac:dyDescent="0.2">
      <c r="B169" s="283" t="s">
        <v>268</v>
      </c>
      <c r="C169" s="280">
        <f>COUNTIFS($D$2:$D$140,"&gt;=30",$D$2:$D$140,"&lt;=40")</f>
        <v>8</v>
      </c>
      <c r="E169" t="s">
        <v>181</v>
      </c>
      <c r="F169" s="130">
        <v>44652</v>
      </c>
      <c r="G169" s="130">
        <v>44681</v>
      </c>
    </row>
    <row r="170" spans="2:8" x14ac:dyDescent="0.2">
      <c r="B170" s="283" t="s">
        <v>267</v>
      </c>
      <c r="C170" s="280">
        <f>COUNTIFS($D$2:$D$140,"&gt;=40",$D$2:$D$140,"&lt;=50")</f>
        <v>3</v>
      </c>
      <c r="E170" t="s">
        <v>182</v>
      </c>
      <c r="F170" s="130">
        <v>44682</v>
      </c>
      <c r="G170" s="130">
        <v>44712</v>
      </c>
    </row>
    <row r="171" spans="2:8" x14ac:dyDescent="0.2">
      <c r="B171" s="283" t="s">
        <v>269</v>
      </c>
      <c r="C171" s="280">
        <f>COUNTIFS($D$2:$D$140,"&gt;=50",$D$2:$D$140,"&lt;=60")</f>
        <v>6</v>
      </c>
      <c r="E171" t="s">
        <v>183</v>
      </c>
      <c r="F171" s="130">
        <v>44713</v>
      </c>
      <c r="G171" s="130">
        <v>44742</v>
      </c>
    </row>
    <row r="172" spans="2:8" x14ac:dyDescent="0.2">
      <c r="B172" s="283" t="s">
        <v>270</v>
      </c>
      <c r="C172" s="280">
        <f>COUNTIFS($D$2:$D$140,"&gt;=60",$D$2:$D$140,"&lt;=70")</f>
        <v>5</v>
      </c>
      <c r="E172" t="s">
        <v>184</v>
      </c>
      <c r="F172" s="130">
        <v>44743</v>
      </c>
      <c r="G172" s="130">
        <v>44773</v>
      </c>
    </row>
    <row r="173" spans="2:8" x14ac:dyDescent="0.2">
      <c r="B173" s="283" t="s">
        <v>271</v>
      </c>
      <c r="C173" s="280">
        <f>COUNTIFS($D$2:$D$140,"&gt;=70",$D$2:$D$140,"&lt;=80")</f>
        <v>4</v>
      </c>
      <c r="E173" t="s">
        <v>185</v>
      </c>
      <c r="F173" s="130">
        <v>44774</v>
      </c>
      <c r="G173" s="130">
        <v>44804</v>
      </c>
    </row>
    <row r="174" spans="2:8" x14ac:dyDescent="0.2">
      <c r="B174" s="283" t="s">
        <v>272</v>
      </c>
      <c r="C174" s="280">
        <f>COUNTIFS($D$2:$D$140,"&gt;=80",$D$2:$D$140,"&lt;=90")</f>
        <v>1</v>
      </c>
      <c r="E174" t="s">
        <v>186</v>
      </c>
      <c r="F174" s="130">
        <v>44805</v>
      </c>
      <c r="G174" s="130">
        <v>44834</v>
      </c>
    </row>
    <row r="175" spans="2:8" x14ac:dyDescent="0.2">
      <c r="B175" s="283" t="s">
        <v>273</v>
      </c>
      <c r="C175" s="280">
        <f>COUNTIFS($D$2:$D$140,"&gt;=90",$D$2:$D$140,"&lt;=100")</f>
        <v>0</v>
      </c>
      <c r="E175" t="s">
        <v>187</v>
      </c>
      <c r="F175" s="130">
        <v>44835</v>
      </c>
      <c r="G175" s="130">
        <v>44865</v>
      </c>
    </row>
    <row r="176" spans="2:8" x14ac:dyDescent="0.2">
      <c r="B176" s="283" t="s">
        <v>275</v>
      </c>
      <c r="C176" s="280">
        <f>COUNTIFS($D$2:$D$140,"&gt;=100",$D$2:$D$140,"&lt;=110")</f>
        <v>1</v>
      </c>
      <c r="E176" t="s">
        <v>188</v>
      </c>
      <c r="F176" s="130">
        <v>44866</v>
      </c>
      <c r="G176" s="130">
        <v>44895</v>
      </c>
    </row>
    <row r="177" spans="2:7" ht="13.5" thickBot="1" x14ac:dyDescent="0.25">
      <c r="B177" s="284" t="s">
        <v>276</v>
      </c>
      <c r="C177" s="285">
        <f>COUNTIFS($D$2:$D$140,"&gt;=110",$D$2:$D$140,"&lt;=150")</f>
        <v>0</v>
      </c>
      <c r="E177" t="s">
        <v>189</v>
      </c>
      <c r="F177" s="130">
        <v>44896</v>
      </c>
      <c r="G177" s="130">
        <v>44926</v>
      </c>
    </row>
    <row r="178" spans="2:7" x14ac:dyDescent="0.2">
      <c r="C178" s="31">
        <f>SUM(C166:C177)</f>
        <v>89</v>
      </c>
    </row>
  </sheetData>
  <mergeCells count="6">
    <mergeCell ref="L3:O3"/>
    <mergeCell ref="E161:H161"/>
    <mergeCell ref="C143:D143"/>
    <mergeCell ref="E143:F143"/>
    <mergeCell ref="G143:H143"/>
    <mergeCell ref="B45:C49"/>
  </mergeCells>
  <pageMargins left="0.7" right="0.7" top="0.78740157499999996" bottom="0.78740157499999996" header="0.3" footer="0.3"/>
  <pageSetup paperSize="9" orientation="portrait" r:id="rId1"/>
  <ignoredErrors>
    <ignoredError sqref="F141" 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161B3-456E-470C-AAFD-BAC0635C166F}">
  <dimension ref="A1:Q172"/>
  <sheetViews>
    <sheetView zoomScaleNormal="100" workbookViewId="0">
      <pane ySplit="1" topLeftCell="A99" activePane="bottomLeft" state="frozen"/>
      <selection pane="bottomLeft" activeCell="G135" sqref="G135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302" t="s">
        <v>144</v>
      </c>
    </row>
    <row r="2" spans="1:15" x14ac:dyDescent="0.2">
      <c r="A2" s="129">
        <v>44284</v>
      </c>
      <c r="B2" s="112"/>
      <c r="C2" s="188"/>
      <c r="D2" s="60">
        <v>14.11</v>
      </c>
      <c r="E2" s="61">
        <v>3.0740740740740739E-2</v>
      </c>
      <c r="F2" s="148">
        <v>19.13</v>
      </c>
      <c r="G2" s="62">
        <v>256</v>
      </c>
      <c r="H2" s="133" t="s">
        <v>223</v>
      </c>
      <c r="I2" s="1">
        <v>3500</v>
      </c>
      <c r="K2" s="250" t="s">
        <v>245</v>
      </c>
    </row>
    <row r="3" spans="1:15" ht="13.5" thickBot="1" x14ac:dyDescent="0.25">
      <c r="A3" s="130">
        <v>44288</v>
      </c>
      <c r="B3" s="112"/>
      <c r="C3" s="189"/>
      <c r="D3" s="51">
        <v>80.19</v>
      </c>
      <c r="E3" s="52">
        <v>0.17965277777777777</v>
      </c>
      <c r="F3" s="149">
        <v>18.600000000000001</v>
      </c>
      <c r="G3" s="53">
        <v>1065</v>
      </c>
      <c r="H3" t="s">
        <v>286</v>
      </c>
      <c r="I3" s="215">
        <v>3100</v>
      </c>
    </row>
    <row r="4" spans="1:15" ht="13.5" thickBot="1" x14ac:dyDescent="0.25">
      <c r="A4" s="130">
        <v>44300</v>
      </c>
      <c r="B4" s="112"/>
      <c r="C4" s="189"/>
      <c r="D4" s="51">
        <v>25.76</v>
      </c>
      <c r="E4" s="52">
        <v>5.7129629629629634E-2</v>
      </c>
      <c r="F4" s="149">
        <v>18.79</v>
      </c>
      <c r="G4" s="53">
        <v>298</v>
      </c>
      <c r="H4" t="s">
        <v>287</v>
      </c>
      <c r="I4" s="215">
        <v>278</v>
      </c>
      <c r="K4" s="602" t="s">
        <v>246</v>
      </c>
      <c r="L4" s="591"/>
      <c r="M4" s="591"/>
      <c r="N4" s="592"/>
    </row>
    <row r="5" spans="1:15" x14ac:dyDescent="0.2">
      <c r="A5" s="12">
        <v>44302</v>
      </c>
      <c r="D5" s="289">
        <v>14.79</v>
      </c>
      <c r="E5" s="52">
        <v>3.0347222222222223E-2</v>
      </c>
      <c r="F5" s="290">
        <v>20.3</v>
      </c>
      <c r="G5" s="291">
        <v>160</v>
      </c>
      <c r="H5" t="s">
        <v>223</v>
      </c>
      <c r="I5" s="215">
        <v>650</v>
      </c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44313</v>
      </c>
      <c r="B6" s="112"/>
      <c r="C6" s="189"/>
      <c r="D6" s="51">
        <v>28.16</v>
      </c>
      <c r="E6" s="52">
        <v>5.4050925925925926E-2</v>
      </c>
      <c r="F6" s="149">
        <v>21.71</v>
      </c>
      <c r="G6" s="53">
        <v>298</v>
      </c>
      <c r="H6" s="32"/>
      <c r="I6" s="215"/>
      <c r="K6" s="255">
        <f>SUMIFS(D2:D134,H2:H134,"e")</f>
        <v>155.20999999999998</v>
      </c>
      <c r="L6" s="256">
        <f>SUMIFS(E2:E134,H2:$H$134,"e")</f>
        <v>0.69256944444444446</v>
      </c>
      <c r="M6" s="257">
        <f>AVERAGEIF(H2:H134,"e",F2:F134)</f>
        <v>9.2960000000000012</v>
      </c>
      <c r="N6" s="258">
        <f>SUMIFS(G2:G134,$H2:H$134,"e")</f>
        <v>1546</v>
      </c>
    </row>
    <row r="7" spans="1:15" x14ac:dyDescent="0.2">
      <c r="A7" s="130">
        <v>44315</v>
      </c>
      <c r="B7" s="112"/>
      <c r="C7" s="189"/>
      <c r="D7" s="51">
        <v>21.22</v>
      </c>
      <c r="E7" s="52">
        <v>3.936342592592592E-2</v>
      </c>
      <c r="F7" s="149">
        <v>22.46</v>
      </c>
      <c r="G7" s="53">
        <v>248</v>
      </c>
      <c r="H7" s="133"/>
      <c r="I7" s="215"/>
    </row>
    <row r="8" spans="1:15" x14ac:dyDescent="0.2">
      <c r="A8" s="130">
        <v>44319</v>
      </c>
      <c r="B8" s="112"/>
      <c r="C8" s="189"/>
      <c r="D8" s="51">
        <v>19.96</v>
      </c>
      <c r="E8" s="52">
        <v>3.8807870370370375E-2</v>
      </c>
      <c r="F8" s="149">
        <v>21.44</v>
      </c>
      <c r="G8" s="53">
        <v>300</v>
      </c>
    </row>
    <row r="9" spans="1:15" x14ac:dyDescent="0.2">
      <c r="A9" s="130">
        <v>44321</v>
      </c>
      <c r="B9" s="112"/>
      <c r="C9" s="189"/>
      <c r="D9" s="51">
        <v>21.1</v>
      </c>
      <c r="E9" s="52">
        <v>4.1423611111111112E-2</v>
      </c>
      <c r="F9" s="149">
        <v>21.23</v>
      </c>
      <c r="G9" s="53">
        <v>248</v>
      </c>
      <c r="I9" s="216"/>
      <c r="K9" s="12">
        <v>44285</v>
      </c>
    </row>
    <row r="10" spans="1:15" x14ac:dyDescent="0.2">
      <c r="A10" s="130">
        <v>44326</v>
      </c>
      <c r="B10" s="112"/>
      <c r="C10" s="189"/>
      <c r="D10" s="51">
        <v>94.77</v>
      </c>
      <c r="E10" s="52">
        <v>0.24826388888888887</v>
      </c>
      <c r="F10" s="149">
        <v>15.9</v>
      </c>
      <c r="G10" s="53">
        <v>1582</v>
      </c>
      <c r="I10" s="216"/>
      <c r="L10" s="186"/>
      <c r="M10" s="13"/>
      <c r="N10" s="186"/>
      <c r="O10" s="186"/>
    </row>
    <row r="11" spans="1:15" x14ac:dyDescent="0.2">
      <c r="A11" s="130">
        <v>44332</v>
      </c>
      <c r="B11" s="112"/>
      <c r="C11" s="189"/>
      <c r="D11" s="51">
        <v>14.62</v>
      </c>
      <c r="E11" s="52">
        <v>6.2465277777777772E-2</v>
      </c>
      <c r="F11" s="149">
        <v>9.75</v>
      </c>
      <c r="G11" s="53">
        <v>128</v>
      </c>
      <c r="H11" t="s">
        <v>244</v>
      </c>
      <c r="I11" s="216"/>
      <c r="L11" s="194"/>
    </row>
    <row r="12" spans="1:15" x14ac:dyDescent="0.2">
      <c r="A12" s="130">
        <v>44333</v>
      </c>
      <c r="B12" s="112"/>
      <c r="C12" s="189"/>
      <c r="D12" s="51">
        <v>23.41</v>
      </c>
      <c r="E12" s="52">
        <v>4.971064814814815E-2</v>
      </c>
      <c r="F12" s="149">
        <v>19.62</v>
      </c>
      <c r="G12" s="53">
        <v>246</v>
      </c>
      <c r="I12" s="216"/>
    </row>
    <row r="13" spans="1:15" x14ac:dyDescent="0.2">
      <c r="A13" s="130">
        <v>44334</v>
      </c>
      <c r="B13" s="112"/>
      <c r="C13" s="189"/>
      <c r="D13" s="51">
        <v>20.3</v>
      </c>
      <c r="E13" s="52">
        <v>4.3518518518518519E-2</v>
      </c>
      <c r="F13" s="149">
        <v>19.43</v>
      </c>
      <c r="G13" s="53">
        <v>243</v>
      </c>
      <c r="I13" s="216"/>
      <c r="N13" s="36"/>
      <c r="O13" s="36"/>
    </row>
    <row r="14" spans="1:15" x14ac:dyDescent="0.2">
      <c r="A14" s="130">
        <v>44336</v>
      </c>
      <c r="B14" s="112"/>
      <c r="C14" s="189"/>
      <c r="D14" s="51">
        <v>12.85</v>
      </c>
      <c r="E14" s="52">
        <v>2.7962962962962964E-2</v>
      </c>
      <c r="F14" s="149">
        <v>19.16</v>
      </c>
      <c r="G14" s="53">
        <v>153</v>
      </c>
      <c r="H14" s="16"/>
      <c r="I14" s="216"/>
      <c r="N14" s="184"/>
      <c r="O14" s="36"/>
    </row>
    <row r="15" spans="1:15" x14ac:dyDescent="0.2">
      <c r="A15" s="130">
        <v>44343</v>
      </c>
      <c r="B15" s="112"/>
      <c r="C15" s="189"/>
      <c r="D15" s="51">
        <v>20.67</v>
      </c>
      <c r="E15" s="52">
        <v>4.2951388888888886E-2</v>
      </c>
      <c r="F15" s="149">
        <v>20.05</v>
      </c>
      <c r="G15" s="53">
        <v>239</v>
      </c>
      <c r="I15" s="216"/>
      <c r="L15" s="186"/>
      <c r="N15" s="184"/>
      <c r="O15" s="36"/>
    </row>
    <row r="16" spans="1:15" x14ac:dyDescent="0.2">
      <c r="A16" s="130">
        <v>44345</v>
      </c>
      <c r="B16" s="112"/>
      <c r="C16" s="189"/>
      <c r="D16" s="51">
        <v>47.47</v>
      </c>
      <c r="E16" s="52">
        <v>0.10238425925925926</v>
      </c>
      <c r="F16" s="149">
        <v>19.309999999999999</v>
      </c>
      <c r="G16" s="53">
        <v>618</v>
      </c>
      <c r="H16" s="16"/>
      <c r="I16" s="216"/>
      <c r="N16" s="184"/>
      <c r="O16" s="36"/>
    </row>
    <row r="17" spans="1:17" x14ac:dyDescent="0.2">
      <c r="A17" s="130">
        <v>44346</v>
      </c>
      <c r="B17" s="112"/>
      <c r="C17" s="189"/>
      <c r="D17" s="51">
        <v>11.67</v>
      </c>
      <c r="E17" s="52">
        <v>5.0902777777777776E-2</v>
      </c>
      <c r="F17" s="149">
        <v>9.5500000000000007</v>
      </c>
      <c r="G17" s="53">
        <v>126</v>
      </c>
      <c r="H17" t="s">
        <v>244</v>
      </c>
      <c r="I17" s="216"/>
      <c r="N17" s="184"/>
      <c r="O17" s="36"/>
    </row>
    <row r="18" spans="1:17" x14ac:dyDescent="0.2">
      <c r="A18" s="130">
        <v>44347</v>
      </c>
      <c r="B18" s="112"/>
      <c r="C18" s="189"/>
      <c r="D18" s="51">
        <v>18.53</v>
      </c>
      <c r="E18" s="52">
        <v>3.5995370370370372E-2</v>
      </c>
      <c r="F18" s="149">
        <v>21.44</v>
      </c>
      <c r="G18" s="53">
        <v>201</v>
      </c>
      <c r="H18" s="16"/>
      <c r="I18" s="216"/>
      <c r="N18" s="185"/>
      <c r="O18" s="36"/>
    </row>
    <row r="19" spans="1:17" x14ac:dyDescent="0.2">
      <c r="A19" s="130">
        <v>44348</v>
      </c>
      <c r="B19" s="112"/>
      <c r="C19" s="189"/>
      <c r="D19" s="51">
        <v>19.77</v>
      </c>
      <c r="E19" s="52">
        <v>3.9976851851851854E-2</v>
      </c>
      <c r="F19" s="149">
        <v>20.6</v>
      </c>
      <c r="G19" s="53">
        <v>231</v>
      </c>
      <c r="I19" s="216"/>
      <c r="J19" s="33"/>
      <c r="N19" s="36"/>
      <c r="O19" s="36"/>
    </row>
    <row r="20" spans="1:17" x14ac:dyDescent="0.2">
      <c r="A20" s="130">
        <v>44350</v>
      </c>
      <c r="B20" s="112"/>
      <c r="C20" s="189"/>
      <c r="D20" s="51">
        <v>21.64</v>
      </c>
      <c r="E20" s="52">
        <v>4.5266203703703704E-2</v>
      </c>
      <c r="F20" s="149">
        <v>19.920000000000002</v>
      </c>
      <c r="G20" s="53">
        <v>276</v>
      </c>
      <c r="I20" s="216"/>
      <c r="N20" s="36"/>
      <c r="O20" s="36"/>
    </row>
    <row r="21" spans="1:17" ht="15" x14ac:dyDescent="0.2">
      <c r="A21" s="130">
        <v>44354</v>
      </c>
      <c r="B21" s="112"/>
      <c r="C21" s="189"/>
      <c r="D21" s="51">
        <v>15.15</v>
      </c>
      <c r="E21" s="52">
        <v>3.1400462962962963E-2</v>
      </c>
      <c r="F21" s="149">
        <v>20.100000000000001</v>
      </c>
      <c r="G21" s="53">
        <v>173</v>
      </c>
      <c r="I21" s="217"/>
      <c r="K21" s="36"/>
      <c r="L21" s="36"/>
      <c r="M21" s="36"/>
      <c r="N21" s="36"/>
      <c r="O21" s="36"/>
      <c r="P21" s="36"/>
      <c r="Q21" s="36"/>
    </row>
    <row r="22" spans="1:17" ht="14.25" x14ac:dyDescent="0.2">
      <c r="A22" s="130">
        <v>44355</v>
      </c>
      <c r="B22" s="112"/>
      <c r="C22" s="189"/>
      <c r="D22" s="51">
        <v>24.39</v>
      </c>
      <c r="E22" s="52">
        <v>5.5636574074074074E-2</v>
      </c>
      <c r="F22" s="149">
        <v>18.27</v>
      </c>
      <c r="G22" s="53">
        <v>309</v>
      </c>
      <c r="H22" s="273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44356</v>
      </c>
      <c r="B23" s="113"/>
      <c r="C23" s="190"/>
      <c r="D23" s="92">
        <v>17.079999999999998</v>
      </c>
      <c r="E23" s="93">
        <v>3.6550925925925924E-2</v>
      </c>
      <c r="F23" s="98">
        <v>19.47</v>
      </c>
      <c r="G23" s="94">
        <v>235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ht="15" x14ac:dyDescent="0.2">
      <c r="A24" s="131">
        <v>44359</v>
      </c>
      <c r="B24" s="67" t="s">
        <v>280</v>
      </c>
      <c r="C24" s="118">
        <v>12</v>
      </c>
      <c r="D24" s="67">
        <v>74.16</v>
      </c>
      <c r="E24" s="68">
        <v>0.24556712962962965</v>
      </c>
      <c r="F24" s="150">
        <v>12.6</v>
      </c>
      <c r="G24" s="69">
        <v>1349</v>
      </c>
      <c r="H24" s="97"/>
      <c r="I24" s="218"/>
      <c r="K24" s="97"/>
      <c r="M24" s="97"/>
      <c r="O24" s="97"/>
      <c r="Q24" s="97"/>
    </row>
    <row r="25" spans="1:17" x14ac:dyDescent="0.2">
      <c r="A25" s="121">
        <v>44360</v>
      </c>
      <c r="B25" s="113"/>
      <c r="C25" s="190"/>
      <c r="D25" s="92">
        <v>8.74</v>
      </c>
      <c r="E25" s="93">
        <v>4.4340277777777777E-2</v>
      </c>
      <c r="F25" s="98">
        <v>8.2200000000000006</v>
      </c>
      <c r="G25" s="94">
        <v>129</v>
      </c>
      <c r="H25" s="275" t="s">
        <v>244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44361</v>
      </c>
      <c r="B26" s="113"/>
      <c r="C26" s="190"/>
      <c r="D26" s="92">
        <v>22.4</v>
      </c>
      <c r="E26" s="93">
        <v>4.5486111111111109E-2</v>
      </c>
      <c r="F26" s="98">
        <v>20.52</v>
      </c>
      <c r="G26" s="94">
        <v>283</v>
      </c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1">
        <v>44363</v>
      </c>
      <c r="B27" s="113"/>
      <c r="C27" s="190"/>
      <c r="D27" s="92">
        <v>22.38</v>
      </c>
      <c r="E27" s="93">
        <v>4.5370370370370366E-2</v>
      </c>
      <c r="F27" s="98">
        <v>20.56</v>
      </c>
      <c r="G27" s="94">
        <v>271</v>
      </c>
      <c r="H27" s="119"/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1">
        <v>44364</v>
      </c>
      <c r="B28" s="113"/>
      <c r="C28" s="190"/>
      <c r="D28" s="92">
        <v>27.31</v>
      </c>
      <c r="E28" s="93">
        <v>5.6655092592592597E-2</v>
      </c>
      <c r="F28" s="98">
        <v>20.09</v>
      </c>
      <c r="G28" s="94">
        <v>245</v>
      </c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44367</v>
      </c>
      <c r="B29" s="113"/>
      <c r="C29" s="190"/>
      <c r="D29" s="92">
        <v>21.57</v>
      </c>
      <c r="E29" s="93">
        <v>4.0254629629629633E-2</v>
      </c>
      <c r="F29" s="98">
        <v>22.32</v>
      </c>
      <c r="G29" s="94">
        <v>134</v>
      </c>
      <c r="H29" s="88"/>
      <c r="I29" s="219"/>
      <c r="K29" s="97"/>
      <c r="M29" s="97"/>
      <c r="O29" s="97"/>
      <c r="Q29" s="97"/>
    </row>
    <row r="30" spans="1:17" x14ac:dyDescent="0.2">
      <c r="A30" s="120">
        <v>44368</v>
      </c>
      <c r="B30" s="114"/>
      <c r="C30" s="190"/>
      <c r="D30" s="92">
        <v>23.25</v>
      </c>
      <c r="E30" s="93">
        <v>5.1481481481481482E-2</v>
      </c>
      <c r="F30" s="98">
        <v>18.82</v>
      </c>
      <c r="G30" s="94">
        <v>246</v>
      </c>
      <c r="H30" s="97"/>
      <c r="I30" s="97"/>
      <c r="K30" s="97"/>
      <c r="M30" s="97"/>
      <c r="O30" s="97"/>
      <c r="Q30" s="97"/>
    </row>
    <row r="31" spans="1:17" ht="13.5" thickBot="1" x14ac:dyDescent="0.25">
      <c r="A31" s="206">
        <v>44375</v>
      </c>
      <c r="B31" s="207"/>
      <c r="C31" s="208"/>
      <c r="D31" s="209">
        <v>31.41</v>
      </c>
      <c r="E31" s="210">
        <v>6.6979166666666659E-2</v>
      </c>
      <c r="F31" s="211">
        <v>19.54</v>
      </c>
      <c r="G31" s="212">
        <v>437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37">
        <v>44377</v>
      </c>
      <c r="B32" s="191"/>
      <c r="C32" s="92"/>
      <c r="D32" s="92">
        <v>22.02</v>
      </c>
      <c r="E32" s="93">
        <v>4.9895833333333334E-2</v>
      </c>
      <c r="F32" s="98">
        <v>18.39</v>
      </c>
      <c r="G32" s="94">
        <v>273</v>
      </c>
      <c r="M32" s="36"/>
      <c r="N32" s="36"/>
      <c r="O32" s="184"/>
      <c r="P32" s="90"/>
      <c r="Q32" s="36"/>
    </row>
    <row r="33" spans="1:17" x14ac:dyDescent="0.2">
      <c r="A33" s="120">
        <v>44382</v>
      </c>
      <c r="B33" s="114"/>
      <c r="C33" s="190"/>
      <c r="D33" s="92">
        <v>19.52</v>
      </c>
      <c r="E33" s="93">
        <v>5.1550925925925924E-2</v>
      </c>
      <c r="F33" s="98">
        <v>15.77</v>
      </c>
      <c r="G33" s="94">
        <v>85</v>
      </c>
      <c r="H33" s="88"/>
      <c r="M33" s="36"/>
      <c r="N33" s="36"/>
      <c r="O33" s="185"/>
      <c r="P33" s="36"/>
      <c r="Q33" s="36"/>
    </row>
    <row r="34" spans="1:17" ht="12.75" customHeight="1" x14ac:dyDescent="0.2">
      <c r="A34" s="123">
        <v>44383</v>
      </c>
      <c r="B34" s="603" t="s">
        <v>281</v>
      </c>
      <c r="C34" s="604"/>
      <c r="D34" s="125">
        <v>81.790000000000006</v>
      </c>
      <c r="E34" s="128">
        <v>0.22372685185185184</v>
      </c>
      <c r="F34" s="151">
        <v>15.23</v>
      </c>
      <c r="G34" s="132">
        <v>984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ht="12.75" customHeight="1" x14ac:dyDescent="0.2">
      <c r="A35" s="123">
        <v>44384</v>
      </c>
      <c r="B35" s="605"/>
      <c r="C35" s="606"/>
      <c r="D35" s="125">
        <v>84.94</v>
      </c>
      <c r="E35" s="128">
        <v>0.245</v>
      </c>
      <c r="F35" s="151">
        <v>14.44</v>
      </c>
      <c r="G35" s="132">
        <v>1402</v>
      </c>
      <c r="I35" s="97"/>
      <c r="J35" s="97"/>
      <c r="L35" s="184"/>
      <c r="M35" s="36"/>
      <c r="N35" s="36"/>
      <c r="O35" s="36"/>
      <c r="P35" s="36"/>
      <c r="Q35" s="36"/>
    </row>
    <row r="36" spans="1:17" ht="12.75" customHeight="1" x14ac:dyDescent="0.2">
      <c r="A36" s="123">
        <v>44385</v>
      </c>
      <c r="B36" s="605"/>
      <c r="C36" s="606"/>
      <c r="D36" s="125">
        <v>77.459999999999994</v>
      </c>
      <c r="E36" s="128">
        <v>0.23993055555555554</v>
      </c>
      <c r="F36" s="151">
        <v>13.45</v>
      </c>
      <c r="G36" s="132">
        <v>1542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ht="12.75" customHeight="1" x14ac:dyDescent="0.2">
      <c r="A37" s="123">
        <v>44386</v>
      </c>
      <c r="B37" s="605"/>
      <c r="C37" s="606"/>
      <c r="D37" s="125">
        <v>78.05</v>
      </c>
      <c r="E37" s="128">
        <v>0.21738425925925928</v>
      </c>
      <c r="F37" s="151">
        <v>14.96</v>
      </c>
      <c r="G37" s="132">
        <v>714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ht="12.75" customHeight="1" x14ac:dyDescent="0.2">
      <c r="A38" s="121">
        <v>44386</v>
      </c>
      <c r="B38" s="113"/>
      <c r="C38" s="190"/>
      <c r="D38" s="92">
        <v>6.45</v>
      </c>
      <c r="E38" s="93">
        <v>2.0069444444444442E-2</v>
      </c>
      <c r="F38" s="98">
        <v>13.4</v>
      </c>
      <c r="G38" s="94">
        <v>108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44387</v>
      </c>
      <c r="B39" s="113"/>
      <c r="C39" s="190"/>
      <c r="D39" s="92">
        <v>43.61</v>
      </c>
      <c r="E39" s="93">
        <v>0.14070601851851852</v>
      </c>
      <c r="F39" s="98">
        <v>12.91</v>
      </c>
      <c r="G39" s="94">
        <v>339</v>
      </c>
      <c r="H39" s="97"/>
      <c r="I39" s="97"/>
      <c r="J39" s="97"/>
    </row>
    <row r="40" spans="1:17" x14ac:dyDescent="0.2">
      <c r="A40" s="121">
        <v>44389</v>
      </c>
      <c r="B40" s="113"/>
      <c r="C40" s="190"/>
      <c r="D40" s="92">
        <v>12.87</v>
      </c>
      <c r="E40" s="93">
        <v>2.6157407407407407E-2</v>
      </c>
      <c r="F40" s="98">
        <v>20.5</v>
      </c>
      <c r="G40" s="94">
        <v>142</v>
      </c>
      <c r="H40" s="97"/>
      <c r="I40" s="97"/>
      <c r="J40" s="97"/>
    </row>
    <row r="41" spans="1:17" x14ac:dyDescent="0.2">
      <c r="A41" s="121">
        <v>44390</v>
      </c>
      <c r="B41" s="113"/>
      <c r="C41" s="190"/>
      <c r="D41" s="92">
        <v>18.7</v>
      </c>
      <c r="E41" s="93">
        <v>3.9004629629629632E-2</v>
      </c>
      <c r="F41" s="98">
        <v>19.97</v>
      </c>
      <c r="G41" s="94">
        <v>179</v>
      </c>
      <c r="H41" s="97"/>
      <c r="I41" s="97"/>
      <c r="J41" s="97"/>
    </row>
    <row r="42" spans="1:17" x14ac:dyDescent="0.2">
      <c r="A42" s="121">
        <v>44392</v>
      </c>
      <c r="B42" s="113"/>
      <c r="C42" s="190"/>
      <c r="D42" s="92">
        <v>16.86</v>
      </c>
      <c r="E42" s="93">
        <v>3.5300925925925923E-2</v>
      </c>
      <c r="F42" s="98">
        <v>19.899999999999999</v>
      </c>
      <c r="G42" s="94">
        <v>199</v>
      </c>
      <c r="H42" s="97"/>
      <c r="I42" s="97"/>
      <c r="J42" s="97"/>
    </row>
    <row r="43" spans="1:17" x14ac:dyDescent="0.2">
      <c r="A43" s="121">
        <v>44396</v>
      </c>
      <c r="B43" s="113"/>
      <c r="C43" s="190"/>
      <c r="D43" s="92">
        <v>19.350000000000001</v>
      </c>
      <c r="E43" s="93">
        <v>3.6157407407407409E-2</v>
      </c>
      <c r="F43" s="98">
        <v>22.31</v>
      </c>
      <c r="G43" s="94">
        <v>213</v>
      </c>
      <c r="H43" s="97"/>
      <c r="I43" s="97"/>
      <c r="J43" s="97"/>
    </row>
    <row r="44" spans="1:17" ht="15" x14ac:dyDescent="0.25">
      <c r="A44" s="121">
        <v>44397</v>
      </c>
      <c r="B44" s="113"/>
      <c r="C44" s="190"/>
      <c r="D44" s="92">
        <v>35.94</v>
      </c>
      <c r="E44" s="93">
        <v>8.222222222222221E-2</v>
      </c>
      <c r="F44" s="98">
        <v>18.21</v>
      </c>
      <c r="G44" s="94">
        <v>232</v>
      </c>
      <c r="H44" s="95"/>
      <c r="I44" s="96"/>
      <c r="J44" s="97"/>
    </row>
    <row r="45" spans="1:17" x14ac:dyDescent="0.2">
      <c r="A45" s="121">
        <v>44398</v>
      </c>
      <c r="B45" s="113"/>
      <c r="C45" s="190"/>
      <c r="D45" s="92">
        <v>21.58</v>
      </c>
      <c r="E45" s="93">
        <v>4.144675925925926E-2</v>
      </c>
      <c r="F45" s="98">
        <v>21.69</v>
      </c>
      <c r="G45" s="94">
        <v>230</v>
      </c>
      <c r="H45" s="97"/>
      <c r="I45" s="97"/>
      <c r="J45" s="97"/>
    </row>
    <row r="46" spans="1:17" x14ac:dyDescent="0.2">
      <c r="A46" s="12">
        <v>44417</v>
      </c>
      <c r="D46" s="277">
        <v>12.32</v>
      </c>
      <c r="E46" s="93">
        <v>3.2164351851851854E-2</v>
      </c>
      <c r="F46" s="294">
        <v>16</v>
      </c>
      <c r="G46" s="295">
        <v>150</v>
      </c>
      <c r="H46" s="97"/>
      <c r="I46" s="97"/>
      <c r="J46" s="97"/>
    </row>
    <row r="47" spans="1:17" x14ac:dyDescent="0.2">
      <c r="A47" s="278">
        <v>44455</v>
      </c>
      <c r="B47" s="279"/>
      <c r="C47" s="190"/>
      <c r="D47" s="92">
        <v>22.36</v>
      </c>
      <c r="E47" s="93">
        <v>4.3518518518518519E-2</v>
      </c>
      <c r="F47" s="98">
        <v>21.4</v>
      </c>
      <c r="G47" s="94">
        <v>260</v>
      </c>
      <c r="H47" s="97"/>
      <c r="I47" s="97"/>
      <c r="J47" s="97"/>
    </row>
    <row r="48" spans="1:17" x14ac:dyDescent="0.2">
      <c r="A48" s="278">
        <v>44427</v>
      </c>
      <c r="B48" s="279"/>
      <c r="C48" s="190"/>
      <c r="D48" s="92">
        <v>29.91</v>
      </c>
      <c r="E48" s="93">
        <v>5.932870370370371E-2</v>
      </c>
      <c r="F48" s="98">
        <v>21.01</v>
      </c>
      <c r="G48" s="94">
        <v>309</v>
      </c>
      <c r="H48" s="97"/>
      <c r="I48" s="97"/>
      <c r="J48" s="98">
        <v>24.7</v>
      </c>
    </row>
    <row r="49" spans="1:14" ht="12.75" customHeight="1" x14ac:dyDescent="0.2">
      <c r="A49" s="278">
        <v>44429</v>
      </c>
      <c r="B49" s="279" t="s">
        <v>283</v>
      </c>
      <c r="C49" s="190"/>
      <c r="D49" s="92">
        <v>18.239999999999998</v>
      </c>
      <c r="E49" s="93">
        <v>7.1307870370370369E-2</v>
      </c>
      <c r="F49" s="98">
        <v>10.7</v>
      </c>
      <c r="G49" s="94">
        <v>240</v>
      </c>
      <c r="H49" s="97" t="s">
        <v>244</v>
      </c>
      <c r="I49" s="97"/>
      <c r="J49" s="97">
        <v>19.899999999999999</v>
      </c>
      <c r="N49" s="13"/>
    </row>
    <row r="50" spans="1:14" ht="15" x14ac:dyDescent="0.25">
      <c r="A50" s="278">
        <v>44431</v>
      </c>
      <c r="B50" s="279"/>
      <c r="C50" s="190"/>
      <c r="D50" s="92">
        <v>27.53</v>
      </c>
      <c r="E50" s="93">
        <v>5.0902777777777776E-2</v>
      </c>
      <c r="F50" s="98">
        <v>22.3</v>
      </c>
      <c r="G50" s="94">
        <v>275</v>
      </c>
      <c r="H50" s="95"/>
      <c r="I50" s="96"/>
      <c r="J50" s="249">
        <f>AVERAGE(J48:J49)</f>
        <v>22.299999999999997</v>
      </c>
    </row>
    <row r="51" spans="1:14" ht="12.75" customHeight="1" x14ac:dyDescent="0.2">
      <c r="A51" s="278">
        <v>44433</v>
      </c>
      <c r="B51" s="279"/>
      <c r="C51" s="190"/>
      <c r="D51" s="92">
        <v>24.98</v>
      </c>
      <c r="E51" s="93">
        <v>4.6076388888888882E-2</v>
      </c>
      <c r="F51" s="98">
        <v>22.6</v>
      </c>
      <c r="G51" s="94">
        <v>218</v>
      </c>
      <c r="H51" s="97"/>
      <c r="I51" s="97"/>
      <c r="J51" s="97"/>
    </row>
    <row r="52" spans="1:14" x14ac:dyDescent="0.2">
      <c r="A52" s="278">
        <v>44438</v>
      </c>
      <c r="B52" s="279"/>
      <c r="C52" s="190"/>
      <c r="D52" s="92">
        <v>25.76</v>
      </c>
      <c r="E52" s="93">
        <v>4.7997685185185185E-2</v>
      </c>
      <c r="F52" s="98">
        <v>22.4</v>
      </c>
      <c r="G52" s="94">
        <v>193</v>
      </c>
      <c r="H52" s="97"/>
      <c r="I52" s="97"/>
      <c r="J52" s="97"/>
    </row>
    <row r="53" spans="1:14" x14ac:dyDescent="0.2">
      <c r="A53" s="121">
        <v>44440</v>
      </c>
      <c r="B53" s="113"/>
      <c r="C53" s="190"/>
      <c r="D53" s="92" t="s">
        <v>282</v>
      </c>
      <c r="E53" s="93">
        <v>2.4282407407407409E-2</v>
      </c>
      <c r="F53" s="98">
        <v>19.87</v>
      </c>
      <c r="G53" s="94">
        <v>154</v>
      </c>
      <c r="H53" s="97"/>
      <c r="I53" s="100"/>
      <c r="J53" s="97"/>
    </row>
    <row r="54" spans="1:14" x14ac:dyDescent="0.2">
      <c r="A54" s="121">
        <v>44442</v>
      </c>
      <c r="B54" s="113"/>
      <c r="C54" s="190"/>
      <c r="D54" s="92">
        <v>19.34</v>
      </c>
      <c r="E54" s="93">
        <v>3.8773148148148147E-2</v>
      </c>
      <c r="F54" s="98">
        <v>20.79</v>
      </c>
      <c r="G54" s="94">
        <v>232</v>
      </c>
      <c r="H54" s="97"/>
      <c r="I54" s="97"/>
      <c r="J54" s="97"/>
    </row>
    <row r="55" spans="1:14" ht="12.75" customHeight="1" x14ac:dyDescent="0.2">
      <c r="A55" s="121">
        <v>44443</v>
      </c>
      <c r="B55" s="113"/>
      <c r="C55" s="190"/>
      <c r="D55" s="92">
        <v>13.21</v>
      </c>
      <c r="E55" s="93">
        <v>6.7280092592592586E-2</v>
      </c>
      <c r="F55" s="98">
        <v>8.18</v>
      </c>
      <c r="G55" s="94">
        <v>210</v>
      </c>
      <c r="H55" s="97" t="s">
        <v>244</v>
      </c>
      <c r="I55" s="97"/>
      <c r="J55" s="134"/>
    </row>
    <row r="56" spans="1:14" x14ac:dyDescent="0.2">
      <c r="A56" s="121">
        <v>44444</v>
      </c>
      <c r="B56" s="113"/>
      <c r="C56" s="190"/>
      <c r="D56" s="92">
        <v>21.49</v>
      </c>
      <c r="E56" s="93">
        <v>8.3854166666666674E-2</v>
      </c>
      <c r="F56" s="98">
        <v>10.68</v>
      </c>
      <c r="G56" s="94">
        <v>130</v>
      </c>
      <c r="H56" s="97" t="s">
        <v>244</v>
      </c>
      <c r="I56" s="97"/>
      <c r="J56" s="97"/>
    </row>
    <row r="57" spans="1:14" x14ac:dyDescent="0.2">
      <c r="A57" s="121">
        <v>44445</v>
      </c>
      <c r="B57" s="113"/>
      <c r="C57" s="190"/>
      <c r="D57" s="92">
        <v>24.89</v>
      </c>
      <c r="E57" s="93">
        <v>6.7604166666666674E-2</v>
      </c>
      <c r="F57" s="98">
        <v>15.34</v>
      </c>
      <c r="G57" s="94">
        <v>328</v>
      </c>
      <c r="H57" s="97"/>
      <c r="J57" s="97"/>
    </row>
    <row r="58" spans="1:14" x14ac:dyDescent="0.2">
      <c r="A58" s="121">
        <v>44447</v>
      </c>
      <c r="B58" s="113"/>
      <c r="C58" s="190"/>
      <c r="D58" s="92">
        <v>20.9</v>
      </c>
      <c r="E58" s="93">
        <v>4.0960648148148149E-2</v>
      </c>
      <c r="F58" s="98">
        <v>21.26</v>
      </c>
      <c r="G58" s="94">
        <v>226</v>
      </c>
      <c r="H58" s="97"/>
      <c r="I58" s="97"/>
      <c r="J58" s="97"/>
    </row>
    <row r="59" spans="1:14" x14ac:dyDescent="0.2">
      <c r="A59" s="121">
        <v>44448</v>
      </c>
      <c r="B59" s="113"/>
      <c r="C59" s="190"/>
      <c r="D59" s="92">
        <v>23.77</v>
      </c>
      <c r="E59" s="93">
        <v>4.3518518518518519E-2</v>
      </c>
      <c r="F59" s="98">
        <v>22.76</v>
      </c>
      <c r="G59" s="94">
        <v>221</v>
      </c>
      <c r="H59" s="274"/>
      <c r="I59" s="97"/>
      <c r="J59" s="134"/>
    </row>
    <row r="60" spans="1:14" x14ac:dyDescent="0.2">
      <c r="A60" s="296">
        <v>44452</v>
      </c>
      <c r="B60" s="607" t="s">
        <v>284</v>
      </c>
      <c r="C60" s="297"/>
      <c r="D60" s="298">
        <v>18.399999999999999</v>
      </c>
      <c r="E60" s="299">
        <v>7.3761574074074077E-2</v>
      </c>
      <c r="F60" s="300">
        <v>10.39</v>
      </c>
      <c r="G60" s="301">
        <v>180</v>
      </c>
      <c r="H60" s="97" t="s">
        <v>244</v>
      </c>
      <c r="I60" s="97"/>
      <c r="J60" s="97"/>
    </row>
    <row r="61" spans="1:14" x14ac:dyDescent="0.2">
      <c r="A61" s="296">
        <v>44453</v>
      </c>
      <c r="B61" s="608"/>
      <c r="C61" s="297"/>
      <c r="D61" s="298">
        <v>18.399999999999999</v>
      </c>
      <c r="E61" s="299">
        <v>8.790509259259259E-2</v>
      </c>
      <c r="F61" s="300">
        <v>8.7200000000000006</v>
      </c>
      <c r="G61" s="301">
        <v>178</v>
      </c>
      <c r="H61" s="97" t="s">
        <v>244</v>
      </c>
      <c r="I61" s="97"/>
      <c r="J61" s="97"/>
    </row>
    <row r="62" spans="1:14" x14ac:dyDescent="0.2">
      <c r="A62" s="296">
        <v>44456</v>
      </c>
      <c r="B62" s="608"/>
      <c r="C62" s="297"/>
      <c r="D62" s="298">
        <v>17.059999999999999</v>
      </c>
      <c r="E62" s="299">
        <v>8.1400462962962966E-2</v>
      </c>
      <c r="F62" s="300">
        <v>8.73</v>
      </c>
      <c r="G62" s="301">
        <v>166</v>
      </c>
      <c r="H62" s="97" t="s">
        <v>244</v>
      </c>
      <c r="I62" s="97"/>
      <c r="J62" s="97"/>
    </row>
    <row r="63" spans="1:14" x14ac:dyDescent="0.2">
      <c r="A63" s="296">
        <v>44457</v>
      </c>
      <c r="B63" s="609"/>
      <c r="C63" s="297"/>
      <c r="D63" s="298">
        <v>13.38</v>
      </c>
      <c r="E63" s="299">
        <v>6.9351851851851845E-2</v>
      </c>
      <c r="F63" s="300">
        <v>8.0399999999999991</v>
      </c>
      <c r="G63" s="301">
        <v>59</v>
      </c>
      <c r="H63" s="97" t="s">
        <v>244</v>
      </c>
      <c r="I63" s="97"/>
      <c r="J63" s="97"/>
    </row>
    <row r="64" spans="1:14" x14ac:dyDescent="0.2">
      <c r="A64" s="121">
        <v>44459</v>
      </c>
      <c r="B64" s="113"/>
      <c r="C64" s="190"/>
      <c r="D64" s="92">
        <v>22.11</v>
      </c>
      <c r="E64" s="93">
        <v>4.3680555555555556E-2</v>
      </c>
      <c r="F64" s="98">
        <v>21.09</v>
      </c>
      <c r="G64" s="94">
        <v>281</v>
      </c>
      <c r="H64" s="97"/>
    </row>
    <row r="65" spans="1:9" x14ac:dyDescent="0.2">
      <c r="A65" s="121">
        <v>44460</v>
      </c>
      <c r="B65" s="113"/>
      <c r="C65" s="190"/>
      <c r="D65" s="92">
        <v>18.43</v>
      </c>
      <c r="E65" s="93">
        <v>3.5821759259259262E-2</v>
      </c>
      <c r="F65" s="98">
        <v>21.44</v>
      </c>
      <c r="G65" s="94">
        <v>191</v>
      </c>
      <c r="H65" s="97"/>
    </row>
    <row r="66" spans="1:9" x14ac:dyDescent="0.2">
      <c r="A66" s="121">
        <v>44462</v>
      </c>
      <c r="B66" s="113"/>
      <c r="C66" s="190"/>
      <c r="D66" s="92">
        <v>19.41</v>
      </c>
      <c r="E66" s="93">
        <v>3.8356481481481484E-2</v>
      </c>
      <c r="F66" s="98">
        <v>21.09</v>
      </c>
      <c r="G66" s="94">
        <v>232</v>
      </c>
      <c r="H66" s="97"/>
    </row>
    <row r="67" spans="1:9" x14ac:dyDescent="0.2">
      <c r="A67" s="121">
        <v>44464</v>
      </c>
      <c r="B67" s="113"/>
      <c r="C67" s="190"/>
      <c r="D67" s="92">
        <v>10.11</v>
      </c>
      <c r="E67" s="93">
        <v>2.2569444444444444E-2</v>
      </c>
      <c r="F67" s="98">
        <v>18.68</v>
      </c>
      <c r="G67" s="94">
        <v>225</v>
      </c>
      <c r="H67" s="97"/>
    </row>
    <row r="68" spans="1:9" ht="15" x14ac:dyDescent="0.2">
      <c r="A68" s="131">
        <v>44464</v>
      </c>
      <c r="B68" s="67" t="s">
        <v>285</v>
      </c>
      <c r="C68" s="118"/>
      <c r="D68" s="67">
        <v>20.399999999999999</v>
      </c>
      <c r="E68" s="68">
        <v>6.3078703703703706E-2</v>
      </c>
      <c r="F68" s="150">
        <v>13.47</v>
      </c>
      <c r="G68" s="69">
        <v>969</v>
      </c>
      <c r="H68" s="97"/>
      <c r="I68" s="33"/>
    </row>
    <row r="69" spans="1:9" x14ac:dyDescent="0.2">
      <c r="A69" s="121">
        <v>44464</v>
      </c>
      <c r="B69" s="190"/>
      <c r="C69" s="92"/>
      <c r="D69" s="92">
        <v>19.93</v>
      </c>
      <c r="E69" s="93">
        <v>3.4212962962962966E-2</v>
      </c>
      <c r="F69" s="98">
        <v>24.27</v>
      </c>
      <c r="G69" s="94">
        <v>182</v>
      </c>
      <c r="H69" s="97"/>
    </row>
    <row r="70" spans="1:9" x14ac:dyDescent="0.2">
      <c r="A70" s="121">
        <v>44469</v>
      </c>
      <c r="B70" s="113"/>
      <c r="C70" s="190"/>
      <c r="D70" s="92">
        <v>57.34</v>
      </c>
      <c r="E70" s="93">
        <v>0.11405092592592592</v>
      </c>
      <c r="F70" s="98">
        <v>20.95</v>
      </c>
      <c r="G70" s="94">
        <v>588</v>
      </c>
      <c r="H70" s="97"/>
    </row>
    <row r="71" spans="1:9" x14ac:dyDescent="0.2">
      <c r="A71" s="121">
        <v>44473</v>
      </c>
      <c r="B71" s="113"/>
      <c r="C71" s="190"/>
      <c r="D71" s="92">
        <v>27.61</v>
      </c>
      <c r="E71" s="93">
        <v>5.3738425925925926E-2</v>
      </c>
      <c r="F71" s="98">
        <v>21.41</v>
      </c>
      <c r="G71" s="94">
        <v>299</v>
      </c>
      <c r="H71" s="97"/>
    </row>
    <row r="72" spans="1:9" x14ac:dyDescent="0.2">
      <c r="A72" s="121">
        <v>44474</v>
      </c>
      <c r="B72" s="113"/>
      <c r="C72" s="190"/>
      <c r="D72" s="92">
        <v>27.43</v>
      </c>
      <c r="E72" s="93">
        <v>5.1597222222222218E-2</v>
      </c>
      <c r="F72" s="98">
        <v>22.5</v>
      </c>
      <c r="G72" s="94">
        <v>299</v>
      </c>
      <c r="H72" s="97"/>
    </row>
    <row r="73" spans="1:9" x14ac:dyDescent="0.2">
      <c r="A73" s="121">
        <v>44477</v>
      </c>
      <c r="B73" s="113" t="s">
        <v>288</v>
      </c>
      <c r="C73" s="190"/>
      <c r="D73" s="92">
        <v>14.96</v>
      </c>
      <c r="E73" s="93">
        <v>3.619212962962963E-2</v>
      </c>
      <c r="F73" s="98">
        <v>17.23</v>
      </c>
      <c r="G73" s="94">
        <v>358</v>
      </c>
      <c r="H73" s="97"/>
    </row>
    <row r="74" spans="1:9" x14ac:dyDescent="0.2">
      <c r="A74" s="121">
        <v>44478</v>
      </c>
      <c r="B74" s="113" t="s">
        <v>289</v>
      </c>
      <c r="C74" s="190"/>
      <c r="D74" s="92">
        <v>10.58</v>
      </c>
      <c r="E74" s="93">
        <v>2.4525462962962968E-2</v>
      </c>
      <c r="F74" s="98">
        <v>17.98</v>
      </c>
      <c r="G74" s="94"/>
      <c r="H74" s="275"/>
    </row>
    <row r="75" spans="1:9" ht="15" x14ac:dyDescent="0.2">
      <c r="A75" s="131">
        <v>44478</v>
      </c>
      <c r="B75" s="67" t="s">
        <v>290</v>
      </c>
      <c r="C75" s="118"/>
      <c r="D75" s="67">
        <v>64.61</v>
      </c>
      <c r="E75" s="68">
        <v>0.12037037037037036</v>
      </c>
      <c r="F75" s="150">
        <v>22.36</v>
      </c>
      <c r="G75" s="69">
        <v>1250</v>
      </c>
      <c r="H75" s="97"/>
    </row>
    <row r="76" spans="1:9" x14ac:dyDescent="0.2">
      <c r="A76" s="121">
        <v>44478</v>
      </c>
      <c r="B76" s="113"/>
      <c r="C76" s="190"/>
      <c r="D76" s="92">
        <v>7.73</v>
      </c>
      <c r="E76" s="93">
        <v>1.6840277777777777E-2</v>
      </c>
      <c r="F76" s="98">
        <v>19.14</v>
      </c>
      <c r="G76" s="94">
        <v>150</v>
      </c>
      <c r="H76" s="97"/>
    </row>
    <row r="77" spans="1:9" x14ac:dyDescent="0.2">
      <c r="A77" s="121">
        <v>44503</v>
      </c>
      <c r="B77" s="113"/>
      <c r="C77" s="190"/>
      <c r="D77" s="92">
        <v>18.66</v>
      </c>
      <c r="E77" s="93">
        <v>3.8518518518518521E-2</v>
      </c>
      <c r="F77" s="98">
        <v>20.190000000000001</v>
      </c>
      <c r="G77" s="94">
        <v>217</v>
      </c>
      <c r="H77" s="97"/>
    </row>
    <row r="78" spans="1:9" x14ac:dyDescent="0.2">
      <c r="A78" s="121">
        <v>44518</v>
      </c>
      <c r="B78" s="113"/>
      <c r="C78" s="190"/>
      <c r="D78" s="92">
        <v>31.31</v>
      </c>
      <c r="E78" s="93">
        <v>6.4317129629629641E-2</v>
      </c>
      <c r="F78" s="98">
        <v>20.28</v>
      </c>
      <c r="G78" s="94">
        <v>332</v>
      </c>
      <c r="H78" s="97"/>
    </row>
    <row r="79" spans="1:9" x14ac:dyDescent="0.2">
      <c r="A79" s="121">
        <v>44524</v>
      </c>
      <c r="C79" s="190"/>
      <c r="D79" s="92">
        <v>31.75</v>
      </c>
      <c r="E79" s="93">
        <v>7.2708333333333333E-2</v>
      </c>
      <c r="F79" s="98">
        <v>18.190000000000001</v>
      </c>
      <c r="G79" s="94">
        <v>484</v>
      </c>
      <c r="H79" s="97"/>
    </row>
    <row r="80" spans="1:9" x14ac:dyDescent="0.2">
      <c r="A80" s="121">
        <v>44536</v>
      </c>
      <c r="B80" s="113"/>
      <c r="C80" s="190"/>
      <c r="D80" s="92">
        <v>18.600000000000001</v>
      </c>
      <c r="E80" s="93">
        <v>3.9467592592592596E-2</v>
      </c>
      <c r="F80" s="98">
        <v>19.64</v>
      </c>
      <c r="G80" s="94">
        <v>200</v>
      </c>
      <c r="H80" s="97"/>
    </row>
    <row r="81" spans="1:14" x14ac:dyDescent="0.2">
      <c r="A81" s="121">
        <v>44550</v>
      </c>
      <c r="B81" s="113"/>
      <c r="C81" s="190"/>
      <c r="D81" s="92">
        <v>15.09</v>
      </c>
      <c r="E81" s="93">
        <v>3.3692129629629627E-2</v>
      </c>
      <c r="F81" s="98">
        <v>18.66</v>
      </c>
      <c r="G81" s="94">
        <v>176</v>
      </c>
      <c r="H81" s="97"/>
    </row>
    <row r="82" spans="1:14" x14ac:dyDescent="0.2">
      <c r="A82" s="121"/>
      <c r="B82" s="113"/>
      <c r="C82" s="190"/>
      <c r="D82" s="92"/>
      <c r="E82" s="93"/>
      <c r="F82" s="98"/>
      <c r="G82" s="94"/>
      <c r="H82" s="97"/>
    </row>
    <row r="83" spans="1:14" x14ac:dyDescent="0.2">
      <c r="A83" s="121"/>
      <c r="B83" s="113"/>
      <c r="C83" s="190"/>
      <c r="D83" s="92"/>
      <c r="E83" s="93"/>
      <c r="F83" s="98"/>
      <c r="G83" s="94"/>
      <c r="H83" s="97"/>
    </row>
    <row r="84" spans="1:14" x14ac:dyDescent="0.2">
      <c r="A84" s="121"/>
      <c r="B84" s="113"/>
      <c r="C84" s="190"/>
      <c r="D84" s="92"/>
      <c r="E84" s="93"/>
      <c r="F84" s="98"/>
      <c r="G84" s="94"/>
      <c r="H84" s="97"/>
    </row>
    <row r="85" spans="1:14" x14ac:dyDescent="0.2">
      <c r="A85" s="121"/>
      <c r="B85" s="113"/>
      <c r="C85" s="190"/>
      <c r="D85" s="92"/>
      <c r="E85" s="93"/>
      <c r="F85" s="98"/>
      <c r="G85" s="94"/>
      <c r="H85" s="97"/>
    </row>
    <row r="86" spans="1:14" x14ac:dyDescent="0.2">
      <c r="A86" s="121"/>
      <c r="B86" s="113"/>
      <c r="C86" s="190"/>
      <c r="D86" s="92"/>
      <c r="E86" s="93"/>
      <c r="F86" s="98"/>
      <c r="G86" s="94"/>
      <c r="H86" s="97"/>
    </row>
    <row r="87" spans="1:14" x14ac:dyDescent="0.2">
      <c r="A87" s="121"/>
      <c r="B87" s="113"/>
      <c r="C87" s="190"/>
      <c r="D87" s="92"/>
      <c r="E87" s="93"/>
      <c r="F87" s="98"/>
      <c r="G87" s="94"/>
      <c r="H87" s="97"/>
    </row>
    <row r="88" spans="1:14" x14ac:dyDescent="0.2">
      <c r="A88" s="121"/>
      <c r="B88" s="113"/>
      <c r="C88" s="190"/>
      <c r="D88" s="92"/>
      <c r="E88" s="93"/>
      <c r="F88" s="98"/>
      <c r="G88" s="94"/>
      <c r="H88" s="97"/>
    </row>
    <row r="89" spans="1:14" x14ac:dyDescent="0.2">
      <c r="A89" s="121"/>
      <c r="B89" s="113"/>
      <c r="C89" s="190"/>
      <c r="D89" s="92"/>
      <c r="E89" s="93"/>
      <c r="F89" s="98"/>
      <c r="G89" s="94"/>
      <c r="H89" s="97"/>
    </row>
    <row r="90" spans="1:14" x14ac:dyDescent="0.2">
      <c r="A90" s="121"/>
      <c r="B90" s="113"/>
      <c r="C90" s="190"/>
      <c r="D90" s="92"/>
      <c r="E90" s="93"/>
      <c r="F90" s="98"/>
      <c r="G90" s="94"/>
      <c r="H90" s="97"/>
      <c r="J90" s="13"/>
    </row>
    <row r="91" spans="1:14" x14ac:dyDescent="0.2">
      <c r="A91" s="121"/>
      <c r="B91" s="113"/>
      <c r="C91" s="190"/>
      <c r="D91" s="92"/>
      <c r="E91" s="93"/>
      <c r="F91" s="98"/>
      <c r="G91" s="94"/>
      <c r="H91" s="97"/>
    </row>
    <row r="92" spans="1:14" x14ac:dyDescent="0.2">
      <c r="A92" s="121"/>
      <c r="B92" s="113"/>
      <c r="C92" s="190"/>
      <c r="D92" s="92"/>
      <c r="E92" s="93"/>
      <c r="F92" s="98"/>
      <c r="G92" s="94"/>
      <c r="H92" s="97"/>
      <c r="I92" s="33"/>
      <c r="K92" s="33"/>
      <c r="L92" s="33"/>
      <c r="M92" s="33"/>
      <c r="N92" s="33"/>
    </row>
    <row r="93" spans="1:14" x14ac:dyDescent="0.2">
      <c r="A93" s="121"/>
      <c r="B93" s="113"/>
      <c r="C93" s="190"/>
      <c r="D93" s="92"/>
      <c r="E93" s="93"/>
      <c r="F93" s="98"/>
      <c r="G93" s="94"/>
      <c r="H93" s="97"/>
    </row>
    <row r="94" spans="1:14" x14ac:dyDescent="0.2">
      <c r="A94" s="121"/>
      <c r="B94" s="113"/>
      <c r="C94" s="190"/>
      <c r="D94" s="92"/>
      <c r="E94" s="93"/>
      <c r="F94" s="98"/>
      <c r="G94" s="94"/>
      <c r="H94" s="97"/>
    </row>
    <row r="95" spans="1:14" x14ac:dyDescent="0.2">
      <c r="A95" s="121"/>
      <c r="B95" s="113"/>
      <c r="C95" s="190"/>
      <c r="D95" s="92"/>
      <c r="E95" s="93"/>
      <c r="F95" s="98"/>
      <c r="G95" s="94"/>
      <c r="H95" s="97"/>
    </row>
    <row r="96" spans="1:14" x14ac:dyDescent="0.2">
      <c r="A96" s="121"/>
      <c r="B96" s="113"/>
      <c r="C96" s="190"/>
      <c r="D96" s="92"/>
      <c r="E96" s="93"/>
      <c r="F96" s="98"/>
      <c r="G96" s="94"/>
      <c r="H96" s="97"/>
    </row>
    <row r="97" spans="1:8" x14ac:dyDescent="0.2">
      <c r="A97" s="121"/>
      <c r="B97" s="113"/>
      <c r="C97" s="190"/>
      <c r="D97" s="92"/>
      <c r="E97" s="93"/>
      <c r="F97" s="98"/>
      <c r="G97" s="94"/>
      <c r="H97" s="97"/>
    </row>
    <row r="98" spans="1:8" x14ac:dyDescent="0.2">
      <c r="A98" s="121"/>
      <c r="B98" s="113"/>
      <c r="C98" s="190"/>
      <c r="D98" s="92"/>
      <c r="E98" s="93"/>
      <c r="F98" s="98"/>
      <c r="G98" s="94"/>
      <c r="H98" s="97"/>
    </row>
    <row r="99" spans="1:8" x14ac:dyDescent="0.2">
      <c r="A99" s="121"/>
      <c r="B99" s="113"/>
      <c r="C99" s="190"/>
      <c r="D99" s="92"/>
      <c r="E99" s="93"/>
      <c r="F99" s="98"/>
      <c r="G99" s="94"/>
      <c r="H99" s="97"/>
    </row>
    <row r="100" spans="1:8" x14ac:dyDescent="0.2">
      <c r="A100" s="121"/>
      <c r="B100" s="113"/>
      <c r="C100" s="190"/>
      <c r="D100" s="92"/>
      <c r="E100" s="93"/>
      <c r="F100" s="98"/>
      <c r="G100" s="94"/>
      <c r="H100" s="97"/>
    </row>
    <row r="101" spans="1:8" x14ac:dyDescent="0.2">
      <c r="A101" s="121"/>
      <c r="B101" s="113"/>
      <c r="C101" s="190"/>
      <c r="D101" s="92"/>
      <c r="E101" s="93"/>
      <c r="F101" s="98"/>
      <c r="G101" s="94"/>
      <c r="H101" s="97"/>
    </row>
    <row r="102" spans="1:8" x14ac:dyDescent="0.2">
      <c r="A102" s="121"/>
      <c r="B102" s="113"/>
      <c r="C102" s="190"/>
      <c r="D102" s="92"/>
      <c r="E102" s="93"/>
      <c r="F102" s="98"/>
      <c r="G102" s="94"/>
      <c r="H102" s="97"/>
    </row>
    <row r="103" spans="1:8" x14ac:dyDescent="0.2">
      <c r="A103" s="121"/>
      <c r="B103" s="113"/>
      <c r="C103" s="190"/>
      <c r="D103" s="92"/>
      <c r="E103" s="93"/>
      <c r="F103" s="98"/>
      <c r="G103" s="94"/>
      <c r="H103" s="97"/>
    </row>
    <row r="104" spans="1:8" x14ac:dyDescent="0.2">
      <c r="A104" s="121"/>
      <c r="B104" s="113"/>
      <c r="C104" s="190"/>
      <c r="D104" s="92"/>
      <c r="E104" s="93"/>
      <c r="F104" s="98"/>
      <c r="G104" s="94"/>
      <c r="H104" s="97"/>
    </row>
    <row r="105" spans="1:8" x14ac:dyDescent="0.2">
      <c r="A105" s="121"/>
      <c r="B105" s="113"/>
      <c r="C105" s="190"/>
      <c r="D105" s="92"/>
      <c r="E105" s="93"/>
      <c r="F105" s="98"/>
      <c r="G105" s="94"/>
      <c r="H105" s="97"/>
    </row>
    <row r="106" spans="1:8" x14ac:dyDescent="0.2">
      <c r="A106" s="121"/>
      <c r="B106" s="113"/>
      <c r="C106" s="190"/>
      <c r="D106" s="92"/>
      <c r="E106" s="93"/>
      <c r="F106" s="98"/>
      <c r="G106" s="94"/>
      <c r="H106" s="97"/>
    </row>
    <row r="107" spans="1:8" x14ac:dyDescent="0.2">
      <c r="A107" s="121"/>
      <c r="B107" s="113"/>
      <c r="C107" s="190"/>
      <c r="D107" s="92"/>
      <c r="E107" s="93"/>
      <c r="F107" s="98"/>
      <c r="G107" s="94"/>
      <c r="H107" s="97"/>
    </row>
    <row r="108" spans="1:8" x14ac:dyDescent="0.2">
      <c r="A108" s="121"/>
      <c r="B108" s="113"/>
      <c r="C108" s="190"/>
      <c r="D108" s="92"/>
      <c r="E108" s="93"/>
      <c r="F108" s="98"/>
      <c r="G108" s="94"/>
      <c r="H108" s="97"/>
    </row>
    <row r="109" spans="1:8" x14ac:dyDescent="0.2">
      <c r="A109" s="121"/>
      <c r="B109" s="113"/>
      <c r="C109" s="190"/>
      <c r="D109" s="92"/>
      <c r="E109" s="93"/>
      <c r="F109" s="98"/>
      <c r="G109" s="94"/>
      <c r="H109" s="97"/>
    </row>
    <row r="110" spans="1:8" x14ac:dyDescent="0.2">
      <c r="A110" s="121"/>
      <c r="B110" s="113"/>
      <c r="C110" s="190"/>
      <c r="D110" s="92"/>
      <c r="E110" s="93"/>
      <c r="F110" s="98"/>
      <c r="G110" s="94"/>
      <c r="H110" s="97"/>
    </row>
    <row r="111" spans="1:8" x14ac:dyDescent="0.2">
      <c r="A111" s="121"/>
      <c r="B111" s="113"/>
      <c r="C111" s="190"/>
      <c r="D111" s="92"/>
      <c r="E111" s="93"/>
      <c r="F111" s="98"/>
      <c r="G111" s="94"/>
      <c r="H111" s="97"/>
    </row>
    <row r="112" spans="1:8" x14ac:dyDescent="0.2">
      <c r="A112" s="121"/>
      <c r="B112" s="113"/>
      <c r="C112" s="190"/>
      <c r="D112" s="92"/>
      <c r="E112" s="93"/>
      <c r="F112" s="98"/>
      <c r="G112" s="94"/>
      <c r="H112" s="97"/>
    </row>
    <row r="113" spans="1:7" x14ac:dyDescent="0.2">
      <c r="A113" s="121"/>
      <c r="B113" s="113"/>
      <c r="C113" s="190"/>
      <c r="D113" s="92"/>
      <c r="E113" s="93"/>
      <c r="F113" s="98"/>
      <c r="G113" s="94"/>
    </row>
    <row r="114" spans="1:7" x14ac:dyDescent="0.2">
      <c r="A114" s="121"/>
      <c r="B114" s="113"/>
      <c r="C114" s="190"/>
      <c r="D114" s="92"/>
      <c r="E114" s="93"/>
      <c r="F114" s="98"/>
      <c r="G114" s="94"/>
    </row>
    <row r="115" spans="1:7" x14ac:dyDescent="0.2">
      <c r="A115" s="121"/>
      <c r="B115" s="113"/>
      <c r="C115" s="190"/>
      <c r="D115" s="92"/>
      <c r="E115" s="93"/>
      <c r="F115" s="98"/>
      <c r="G115" s="94"/>
    </row>
    <row r="116" spans="1:7" x14ac:dyDescent="0.2">
      <c r="A116" s="121"/>
      <c r="B116" s="113"/>
      <c r="C116" s="190"/>
      <c r="D116" s="92"/>
      <c r="E116" s="93"/>
      <c r="F116" s="98"/>
      <c r="G116" s="94"/>
    </row>
    <row r="117" spans="1:7" x14ac:dyDescent="0.2">
      <c r="A117" s="121"/>
      <c r="B117" s="113"/>
      <c r="C117" s="190"/>
      <c r="D117" s="92"/>
      <c r="E117" s="93"/>
      <c r="F117" s="98"/>
      <c r="G117" s="94"/>
    </row>
    <row r="118" spans="1:7" x14ac:dyDescent="0.2">
      <c r="A118" s="121"/>
      <c r="B118" s="113"/>
      <c r="C118" s="190"/>
      <c r="D118" s="92"/>
      <c r="E118" s="93"/>
      <c r="F118" s="98"/>
      <c r="G118" s="94"/>
    </row>
    <row r="119" spans="1:7" x14ac:dyDescent="0.2">
      <c r="A119" s="121"/>
      <c r="B119" s="113"/>
      <c r="C119" s="190"/>
      <c r="D119" s="92"/>
      <c r="E119" s="93"/>
      <c r="F119" s="98"/>
      <c r="G119" s="94"/>
    </row>
    <row r="120" spans="1:7" x14ac:dyDescent="0.2">
      <c r="A120" s="121"/>
      <c r="B120" s="113"/>
      <c r="C120" s="190"/>
      <c r="D120" s="92"/>
      <c r="E120" s="93"/>
      <c r="F120" s="98"/>
      <c r="G120" s="94"/>
    </row>
    <row r="121" spans="1:7" x14ac:dyDescent="0.2">
      <c r="A121" s="121"/>
      <c r="B121" s="113"/>
      <c r="C121" s="190"/>
      <c r="D121" s="92"/>
      <c r="E121" s="93"/>
      <c r="F121" s="98"/>
      <c r="G121" s="94"/>
    </row>
    <row r="122" spans="1:7" x14ac:dyDescent="0.2">
      <c r="A122" s="121"/>
      <c r="B122" s="113"/>
      <c r="C122" s="190"/>
      <c r="D122" s="92"/>
      <c r="E122" s="93"/>
      <c r="F122" s="98"/>
      <c r="G122" s="94"/>
    </row>
    <row r="123" spans="1:7" x14ac:dyDescent="0.2">
      <c r="A123" s="121"/>
      <c r="B123" s="113"/>
      <c r="C123" s="190"/>
      <c r="D123" s="92"/>
      <c r="E123" s="93"/>
      <c r="F123" s="98"/>
      <c r="G123" s="94"/>
    </row>
    <row r="124" spans="1:7" x14ac:dyDescent="0.2">
      <c r="A124" s="121"/>
      <c r="B124" s="113"/>
      <c r="C124" s="190"/>
      <c r="D124" s="92"/>
      <c r="E124" s="93"/>
      <c r="F124" s="98"/>
      <c r="G124" s="94"/>
    </row>
    <row r="125" spans="1:7" x14ac:dyDescent="0.2">
      <c r="A125" s="121"/>
      <c r="B125" s="113"/>
      <c r="C125" s="190"/>
      <c r="D125" s="92"/>
      <c r="E125" s="93"/>
      <c r="F125" s="98"/>
      <c r="G125" s="94"/>
    </row>
    <row r="126" spans="1:7" x14ac:dyDescent="0.2">
      <c r="A126" s="121"/>
      <c r="B126" s="113"/>
      <c r="C126" s="190"/>
      <c r="D126" s="92"/>
      <c r="E126" s="93"/>
      <c r="F126" s="98"/>
      <c r="G126" s="94"/>
    </row>
    <row r="127" spans="1:7" x14ac:dyDescent="0.2">
      <c r="A127" s="121"/>
      <c r="B127" s="113"/>
      <c r="C127" s="190"/>
      <c r="D127" s="92"/>
      <c r="E127" s="93"/>
      <c r="F127" s="98"/>
      <c r="G127" s="94"/>
    </row>
    <row r="128" spans="1:7" x14ac:dyDescent="0.2">
      <c r="A128" s="121"/>
      <c r="B128" s="113"/>
      <c r="C128" s="190"/>
      <c r="D128" s="92"/>
      <c r="E128" s="93"/>
      <c r="F128" s="98"/>
      <c r="G128" s="94"/>
    </row>
    <row r="129" spans="1:9" x14ac:dyDescent="0.2">
      <c r="A129" s="121"/>
      <c r="B129" s="113"/>
      <c r="C129" s="190"/>
      <c r="D129" s="92"/>
      <c r="E129" s="93"/>
      <c r="F129" s="98"/>
      <c r="G129" s="94"/>
    </row>
    <row r="130" spans="1:9" x14ac:dyDescent="0.2">
      <c r="A130" s="121"/>
      <c r="B130" s="113"/>
      <c r="C130" s="190"/>
      <c r="D130" s="92"/>
      <c r="E130" s="93"/>
      <c r="F130" s="98"/>
      <c r="G130" s="94"/>
    </row>
    <row r="131" spans="1:9" x14ac:dyDescent="0.2">
      <c r="A131" s="121"/>
      <c r="B131" s="113"/>
      <c r="C131" s="190"/>
      <c r="D131" s="92"/>
      <c r="E131" s="93"/>
      <c r="F131" s="98"/>
      <c r="G131" s="94"/>
    </row>
    <row r="132" spans="1:9" x14ac:dyDescent="0.2">
      <c r="A132" s="121"/>
      <c r="B132" s="113"/>
      <c r="C132" s="190"/>
      <c r="D132" s="92"/>
      <c r="E132" s="93"/>
      <c r="F132" s="98"/>
      <c r="G132" s="94"/>
    </row>
    <row r="133" spans="1:9" x14ac:dyDescent="0.2">
      <c r="A133" s="121"/>
      <c r="B133" s="113"/>
      <c r="C133" s="190"/>
      <c r="D133" s="92"/>
      <c r="E133" s="93"/>
      <c r="F133" s="98"/>
      <c r="G133" s="94"/>
    </row>
    <row r="134" spans="1:9" x14ac:dyDescent="0.2">
      <c r="A134" s="121"/>
      <c r="B134" s="113"/>
      <c r="C134" s="190"/>
      <c r="D134" s="92"/>
      <c r="E134" s="93"/>
      <c r="F134" s="98"/>
      <c r="G134" s="94"/>
    </row>
    <row r="135" spans="1:9" ht="14.25" x14ac:dyDescent="0.2">
      <c r="A135" s="187" t="s">
        <v>90</v>
      </c>
      <c r="D135">
        <f>SUM(D2:D134 )-K6</f>
        <v>1990.7599999999998</v>
      </c>
      <c r="E135" s="251">
        <f>SUM(E2:E134)-L6</f>
        <v>4.6303472222222197</v>
      </c>
      <c r="F135" s="33">
        <f>AVERAGEIF(H2:H134,"&lt;&gt;e",F2:F134)</f>
        <v>19.383000000000006</v>
      </c>
      <c r="G135" s="194">
        <f>SUM(G2:G134)-N6</f>
        <v>25985</v>
      </c>
      <c r="H135" t="s">
        <v>90</v>
      </c>
      <c r="I135">
        <f>SUM(I2:I114)</f>
        <v>7528</v>
      </c>
    </row>
    <row r="136" spans="1:9" ht="13.5" thickBot="1" x14ac:dyDescent="0.25">
      <c r="I136" s="33">
        <f>I135/D135</f>
        <v>3.7814703932166616</v>
      </c>
    </row>
    <row r="137" spans="1:9" x14ac:dyDescent="0.2">
      <c r="B137" s="259"/>
      <c r="C137" s="588" t="s">
        <v>247</v>
      </c>
      <c r="D137" s="589"/>
      <c r="E137" s="588" t="s">
        <v>248</v>
      </c>
      <c r="F137" s="589"/>
      <c r="G137" s="588" t="s">
        <v>249</v>
      </c>
      <c r="H137" s="589"/>
    </row>
    <row r="138" spans="1:9" ht="13.5" thickBot="1" x14ac:dyDescent="0.25">
      <c r="B138" s="269"/>
      <c r="C138" s="267" t="s">
        <v>203</v>
      </c>
      <c r="D138" s="268" t="s">
        <v>202</v>
      </c>
      <c r="E138" s="267" t="s">
        <v>203</v>
      </c>
      <c r="F138" s="268" t="s">
        <v>202</v>
      </c>
      <c r="G138" s="267" t="s">
        <v>203</v>
      </c>
      <c r="H138" s="268" t="s">
        <v>202</v>
      </c>
    </row>
    <row r="139" spans="1:9" x14ac:dyDescent="0.2">
      <c r="B139" s="270" t="s">
        <v>178</v>
      </c>
      <c r="C139" s="265">
        <f>SUMIFS($D$2:$D$114,$A$2:$A$114,"&lt;=31.1.2021")</f>
        <v>0</v>
      </c>
      <c r="D139" s="266">
        <f>COUNTIFS($A$2:$A$114,"&gt;=1.1.2021",$A$2:$A$114,"&lt;=31.1.2021")</f>
        <v>0</v>
      </c>
      <c r="E139" s="265">
        <f>SUMIFS($D$2:$D$114,$A$2:$A$114,"&lt;=31.1.2021")</f>
        <v>0</v>
      </c>
      <c r="F139" s="266">
        <f>COUNTIFS($A$2:$A$114,"&gt;=1.1.2021",$A$2:$A$114,"&lt;=31.1.2021",$H$2:$H$114,"")</f>
        <v>0</v>
      </c>
      <c r="G139" s="260">
        <f>SUMIFS($D$2:$D$114,$A$2:$A$114,"&lt;1.2.2020",H1:H113,"e")</f>
        <v>0</v>
      </c>
      <c r="H139" s="266">
        <f>COUNTIFS($A$2:$A$114,"&gt;=1.1.2020",$A$2:$A$114,"&lt;=31.1.2020",$H$2:$H$114,"e")</f>
        <v>0</v>
      </c>
    </row>
    <row r="140" spans="1:9" x14ac:dyDescent="0.2">
      <c r="B140" s="271" t="s">
        <v>179</v>
      </c>
      <c r="C140" s="260">
        <f>SUMIFS($D$2:$D$114,$A$2:$A$114,"&lt;29.2.2021")-SUMIFS($D$2:$D$54,$A$2:$A$54,"&lt;1.2.2021")</f>
        <v>0</v>
      </c>
      <c r="D140" s="261">
        <f>COUNTIFS($A$2:$A$114,"&gt;=1.2.2021",$A$2:$A$114,"&lt;=28.2.2021")</f>
        <v>0</v>
      </c>
      <c r="E140" s="260">
        <f>SUMIFS($D$2:$D$114,$A$2:$A$114,"&lt;1.3.2021",H2:H114,"")-SUMIFS($D$2:$D$114,$A$2:$A$114,"&lt;1.2.2021",H2:H114,"")</f>
        <v>0</v>
      </c>
      <c r="F140" s="261">
        <f>COUNTIFS($A$2:$A$114,"&gt;=1.2.2020",$A$2:$A$114,"&lt;=28.2.2020",$H$2:$H$114,"")</f>
        <v>0</v>
      </c>
      <c r="G140" s="260">
        <f>SUMIFS($D$2:$D$114,$A$2:$A$114,"&lt;1.3.2020",H2:H114,"e")-SUMIFS($D$2:$D$114,$A$2:$A$114,"&lt;1.2.2020",H2:H114,"e")</f>
        <v>0</v>
      </c>
      <c r="H140" s="261">
        <f>COUNTIFS($A$2:$A$114,"&gt;=1.2.2020",$A$2:$A$114,"&lt;=28.2.2020",$H$2:$H$114,"e")</f>
        <v>0</v>
      </c>
    </row>
    <row r="141" spans="1:9" x14ac:dyDescent="0.2">
      <c r="B141" s="271" t="s">
        <v>180</v>
      </c>
      <c r="C141" s="260">
        <f>SUMIFS($D$2:$D$114,$A$2:$A$114,"&lt;1.4.2021")-SUMIFS($D$2:$D$54,$A$2:$A$54,"&lt;K9")</f>
        <v>14.11</v>
      </c>
      <c r="D141" s="261">
        <f>COUNTIFS($A$2:$A$114,"&gt;=1.3.2021",$A$2:$A$114,"&lt;=31.3.2021")</f>
        <v>1</v>
      </c>
      <c r="E141" s="260">
        <f>SUMIFS($D$2:$D$114,$A$2:$A$114,"&lt;1.4.2021",H2:H114,"")-SUMIFS($D$2:$D$114,$A$2:$A$114,"&lt;1.3.2021",H2:H114,"")</f>
        <v>0</v>
      </c>
      <c r="F141" s="261">
        <f>COUNTIFS($A$2:$A$114,"&gt;=1.3.2021",$A$2:$A$114,"&lt;=31.3.2021",$H$2:$H$114,"")</f>
        <v>0</v>
      </c>
      <c r="G141" s="260">
        <f>SUMIFS($D$2:$D$114,$A$2:$A$114,"&lt;1.4.2021",H2:H114,"e")-SUMIFS($D$2:$D$114,$A$2:$A$114,"&lt;1.3.2021",H2:H114,"e")</f>
        <v>0</v>
      </c>
      <c r="H141" s="261">
        <f>COUNTIFS($A$2:$A$114,"&gt;=1.3.2020",$A$2:$A$114,"&lt;=31.3.2020",$H$2:$H$114,"e")</f>
        <v>0</v>
      </c>
    </row>
    <row r="142" spans="1:9" x14ac:dyDescent="0.2">
      <c r="B142" s="271" t="s">
        <v>181</v>
      </c>
      <c r="C142" s="260">
        <f>SUMIFS($D$2:$D$54,$A$2:$A$54,"&lt;1.5.2021")-SUMIFS($D$2:$D$54,$A$2:$A$54,"&lt;1.4.2021")</f>
        <v>170.12</v>
      </c>
      <c r="D142" s="261">
        <f>COUNTIFS($A$2:$A$114,"&gt;=1.4.2021",$A$2:$A$114,"&lt;=30.4.2021")</f>
        <v>5</v>
      </c>
      <c r="E142" s="260">
        <f>SUMIFS($D$2:$D$114,$A$2:$A$114,"&lt;1.5.2021",H2:H114,"")-SUMIFS($D$2:$D$114,$A$2:$A$114,"&lt;1.4.2021",H2:H114,"")</f>
        <v>49.379999999999995</v>
      </c>
      <c r="F142" s="261">
        <f>COUNTIFS($A$2:$A$114,"&gt;=1.4.2021",$A$2:$A$114,"&lt;=30.4.2021",$H$2:$H$114,"")</f>
        <v>2</v>
      </c>
      <c r="G142" s="260">
        <f>SUMIFS($D$2:$D$114,$A$2:$A$114,"&lt;1.5.2021",H2:H114,"e")-SUMIFS($D$2:$D$114,$A$2:$A$114,"&lt;1.4.2021",H2:H114,"e")</f>
        <v>0</v>
      </c>
      <c r="H142" s="261">
        <f>COUNTIFS($A$2:$A$114,"&gt;=1.4.2020",$A$2:$A$114,"&lt;=30.4.2020",$H$2:$H$114,"e")</f>
        <v>0</v>
      </c>
    </row>
    <row r="143" spans="1:9" x14ac:dyDescent="0.2">
      <c r="B143" s="271" t="s">
        <v>182</v>
      </c>
      <c r="C143" s="260">
        <f>SUMIFS($D$2:$D$54,$A$2:$A$54,"&lt;1.6.2021")-SUMIFS($D$2:$D$54,$A$2:$A$54,"&lt;1.5.2021")</f>
        <v>305.35000000000014</v>
      </c>
      <c r="D143" s="261">
        <f>COUNTIFS($A$2:$A$114,"&gt;=1.5.2021",$A$2:$A$114,"&lt;=31.5.2021")</f>
        <v>11</v>
      </c>
      <c r="E143" s="260">
        <f>SUMIFS($D$2:$D$114,$A$2:$A$114,"&lt;1.6.2021",H2:H114,"")-SUMIFS($D$2:$D$114,$A$2:$A$114,"&lt;1.5.2021",H2:H114,"")</f>
        <v>279.05999999999995</v>
      </c>
      <c r="F143" s="261">
        <f>COUNTIFS($A$2:$A$114,"&gt;=1.5.2021",$A$2:$A$114,"&lt;=31.5.2021",$H$2:$H$114,"")</f>
        <v>9</v>
      </c>
      <c r="G143" s="260">
        <f>SUMIFS($D$2:$D$114,$A$2:$A$114,"&lt;1.6.2021",H2:H114,"e")-SUMIFS($D$2:$D$114,$A$2:$A$114,"&lt;1.5.2021",H2:H114,"e")</f>
        <v>26.29</v>
      </c>
      <c r="H143" s="261">
        <f>COUNTIFS($A$2:$A$114,"&gt;=1.5.2021",$A$2:$A$114,"&lt;=31.5.2021",$H$2:$H$114,"e")</f>
        <v>2</v>
      </c>
    </row>
    <row r="144" spans="1:9" x14ac:dyDescent="0.2">
      <c r="B144" s="271" t="s">
        <v>183</v>
      </c>
      <c r="C144" s="260">
        <f>SUMIFS($D$2:$D$70,$A$2:$A$70,"&lt;1.7.2021")-SUMIFS($D$2:$D$70,$A$2:$A$70,"&lt;1.6.2021")</f>
        <v>351.26999999999987</v>
      </c>
      <c r="D144" s="261">
        <f>COUNTIFS($A$2:$A$114,"&gt;=1.6.2021",$A$2:$A$114,"&lt;=30.6.2021")</f>
        <v>14</v>
      </c>
      <c r="E144" s="260">
        <f>SUMIFS($D$2:$D$114,$A$2:$A$114,"&lt;1.7.2021",H2:H114,"")-SUMIFS($D$2:$D$114,$A$2:$A$114,"&lt;1.6.2021",H2:H114,"")</f>
        <v>342.52999999999986</v>
      </c>
      <c r="F144" s="261">
        <f>COUNTIFS($A$2:$A$114,"&gt;=1.6.2021",$A$2:$A$114,"&lt;=30.6.2021",$H$2:$H$114,"")</f>
        <v>13</v>
      </c>
      <c r="G144" s="260">
        <f>SUMIFS($D$2:$D$114,$A$2:$A$114,"&lt;1.7.2021",H2:H114,"e")-SUMIFS($D$2:$D$114,$A$2:$A$114,"&lt;1.6.2021",H2:H114,"e")</f>
        <v>8.740000000000002</v>
      </c>
      <c r="H144" s="261">
        <f>COUNTIFS($A$2:$A$114,"&gt;=1.6.2021",$A$2:$A$114,"&lt;=30.6.2021",$H$2:$H$114,"e")</f>
        <v>1</v>
      </c>
    </row>
    <row r="145" spans="2:8" x14ac:dyDescent="0.2">
      <c r="B145" s="271" t="s">
        <v>184</v>
      </c>
      <c r="C145" s="260">
        <f>SUMIFS($D$2:$D$82,$A$2:$A$82,"&lt;1.8.2021")-SUMIFS($D$2:$D$82,$A$2:$A$82,"&lt;1.7.2021")</f>
        <v>517.11999999999955</v>
      </c>
      <c r="D145" s="261">
        <f>COUNTIFS($A$2:$A$114,"&gt;=1.7.2021",$A$2:$A$114,"&lt;=31.7.2021")</f>
        <v>13</v>
      </c>
      <c r="E145" s="260">
        <f>SUMIFS($D$2:$D$114,$A$2:$A$114,"&lt;1.8.2021",$H$2:$H$114,"")-SUMIFS($D$2:$D$114,$A$2:$A$114,"&lt;1.7.2021",$H$2:$H$114,"")</f>
        <v>517.11999999999966</v>
      </c>
      <c r="F145" s="261">
        <f>COUNTIFS($A$2:$A$114,"&gt;=1.7.2021",$A$2:$A$114,"&lt;=31.7.2021",$H$2:$H$114,"")</f>
        <v>13</v>
      </c>
      <c r="G145" s="260">
        <f>SUMIFS($D$2:$D$114,$A$2:$A$114,"&lt;1.8.2021",$H$2:$H$114,"e")-SUMIFS($D$2:$D$114,$A$2:$A$114,"&lt;1.7.2021",$H$2:$H$114,"e")</f>
        <v>0</v>
      </c>
      <c r="H145" s="261">
        <f>COUNTIFS($A$2:$A$114,"&gt;=1.7.2021",$A$2:$A$114,"&lt;=31.7.2021",$H$2:$H$114,"e")</f>
        <v>0</v>
      </c>
    </row>
    <row r="146" spans="2:8" x14ac:dyDescent="0.2">
      <c r="B146" s="271" t="s">
        <v>185</v>
      </c>
      <c r="C146" s="260">
        <f>SUMIFS($D$2:$D$134,$A$2:$A$134,"&lt;1.9.2021")-SUMIFS($D$2:$D$134,$A$2:$A$134,"&lt;1.8.2021")</f>
        <v>138.74</v>
      </c>
      <c r="D146" s="261">
        <f>COUNTIFS($A$2:$A$134,"&gt;=1.8.2021",$A$2:$A$134,"&lt;=31.8.2021")</f>
        <v>6</v>
      </c>
      <c r="E146" s="260">
        <f>SUMIFS($D$2:$D$114,$A$2:$A$114,"&lt;1.9.2021",$H$2:$H$114,"")-SUMIFS($D$2:$D$114,$A$2:$A$114,"&lt;1.8.2021",$H$2:$H$114,"")</f>
        <v>120.5</v>
      </c>
      <c r="F146" s="261">
        <f>COUNTIFS($A$2:$A$114,"&gt;=1.8.2021",$A$2:$A$114,"&lt;=31.8.2021",$H$2:$H$114,"")</f>
        <v>5</v>
      </c>
      <c r="G146" s="260">
        <f>SUMIFS($D$2:$D$114,$A$2:$A$114,"&lt;1.9.2021",$H$2:$H$114,"e")-SUMIFS($D$2:$D$114,$A$2:$A$114,"&lt;1.8.2021",$H$2:$H$114,"e")</f>
        <v>18.239999999999995</v>
      </c>
      <c r="H146" s="261">
        <f>COUNTIFS($A$2:$A$114,"&gt;=1.8.2021",$A$2:$A$114,"&lt;=31.8.2021",$H$2:$H$114,"e")</f>
        <v>1</v>
      </c>
    </row>
    <row r="147" spans="2:8" x14ac:dyDescent="0.2">
      <c r="B147" s="271" t="s">
        <v>186</v>
      </c>
      <c r="C147" s="260">
        <f>SUMIFS($D$2:$D$134,$A$2:$A$134,"&lt;1.10.2021")-SUMIFS($D$2:$D$134,$A$2:$A$134,"&lt;1.9.2021")</f>
        <v>380.93000000000029</v>
      </c>
      <c r="D147" s="261">
        <f>COUNTIFS($A$2:$A$134,"&gt;=1.9.2021",$A$2:$A$134,"&lt;=30.9.2021")</f>
        <v>19</v>
      </c>
      <c r="E147" s="260">
        <f>SUMIFS($D$2:$D$114,$A$2:$A$114,"&lt;1.10.2021",$H$2:$H$114,"")-SUMIFS($D$2:$D$114,$A$2:$A$114,"&lt;1.9.2021",$H$2:$H$114,"")</f>
        <v>278.99</v>
      </c>
      <c r="F147" s="261">
        <f>COUNTIFS($A$2:$A$134,"&gt;=1.9.2021",$A$2:$A$134,"&lt;=30.9.2021",$H$2:$H$134,"")</f>
        <v>13</v>
      </c>
      <c r="G147" s="260">
        <f>SUMIFS($D$2:$D$134,$A$2:$A$134,"&lt;1.10.2021",$H$2:$H$134,"e")-SUMIFS($D$2:$D$134,$A$2:$A$134,"&lt;1.9.2021",$H$2:$H$134,"e")</f>
        <v>101.93999999999998</v>
      </c>
      <c r="H147" s="261">
        <f>COUNTIFS($A$2:$A$134,"&gt;=1.9.2021",$A$2:$A$134,"&lt;=30.9.2021",$H$2:$H$134,"e")</f>
        <v>6</v>
      </c>
    </row>
    <row r="148" spans="2:8" x14ac:dyDescent="0.2">
      <c r="B148" s="271" t="s">
        <v>187</v>
      </c>
      <c r="C148" s="260">
        <f>SUMIFS($D$2:$D$134,$A$2:$A$134,"&lt;31.10.2021")-SUMIFS($D$2:$D$134,$A$2:$A$134,"&lt;1.10.2021")</f>
        <v>152.91999999999985</v>
      </c>
      <c r="D148" s="261">
        <f>COUNTIFS($A$2:$A$134,"&gt;=1.10.2021",$A$2:$A$134,"&lt;=31.10.2021")</f>
        <v>6</v>
      </c>
      <c r="E148" s="260">
        <f>SUMIFS($D$2:$D$134,$A$2:$A$134,"&lt;1.11.2021",$H$2:$H$134,"")-SUMIFS($D$2:$D$134,$A$2:$A$134,"&lt;1.10.2021",$H$2:$H$134,"")</f>
        <v>152.91999999999985</v>
      </c>
      <c r="F148" s="261">
        <f>COUNTIFS($A$2:$A$134,"&gt;=1.10.2021",$A$2:$A$134,"&lt;=31.10.2021",$H$2:$H$134,"")</f>
        <v>6</v>
      </c>
      <c r="G148" s="260">
        <f>SUMIFS($D$2:$D$134,$A$2:$A$134,"&lt;1.11.2021",$H$2:$H$134,"e")-SUMIFS($D$2:$D$134,$A$2:$A$134,"&lt;1.10.2021",$H$2:$H$134,"e")</f>
        <v>0</v>
      </c>
      <c r="H148" s="261">
        <f>COUNTIFS($A$2:$A$134,"&gt;=1.10.2021",$A$2:$A$134,"&lt;=31.10.2021",$H$2:$H$134,"e")</f>
        <v>0</v>
      </c>
    </row>
    <row r="149" spans="2:8" x14ac:dyDescent="0.2">
      <c r="B149" s="271" t="s">
        <v>188</v>
      </c>
      <c r="C149" s="260">
        <f>SUMIFS($D$2:$D$134,$A$2:$A$134,"&lt;30.11.2021")-SUMIFS($D$2:$D$134,$A$2:$A$134,"&lt;1.11.2021")</f>
        <v>81.720000000000027</v>
      </c>
      <c r="D149" s="261">
        <f>COUNTIFS($A$2:$A$134,"&gt;=1.11.2021",$A$2:$A$134,"&lt;=30.11.2021")</f>
        <v>3</v>
      </c>
      <c r="E149" s="260">
        <f>SUMIFS($D$2:$D$134,$A$2:$A$134,"&lt;1.12.2021",$H$2:$H$134,"")-SUMIFS($D$2:$D$134,$A$2:$A$134,"&lt;1.11.2021",$H$2:$H$134,"")</f>
        <v>81.720000000000027</v>
      </c>
      <c r="F149" s="261">
        <f>COUNTIFS($A$2:$A$134,"&gt;=1.11.2021",$A$2:$A$134,"&lt;=30.11.2021",$H$2:$H$134,"")</f>
        <v>3</v>
      </c>
      <c r="G149" s="260">
        <f>SUMIFS($D$2:$D$134,$A$2:$A$134,"&lt;1.12.2020",$H$2:$H$134,"e")-SUMIFS($D$2:$D$134,$A$2:$A$134,"&lt;1.11.2020",$H$2:$H$134,"e")</f>
        <v>0</v>
      </c>
      <c r="H149" s="261">
        <f>COUNTIFS($A$2:$A$134,"&gt;=1.11.2021",$A$2:$A$134,"&lt;=30.11.2021",$H$2:$H$134,"e")</f>
        <v>0</v>
      </c>
    </row>
    <row r="150" spans="2:8" x14ac:dyDescent="0.2">
      <c r="B150" s="271" t="s">
        <v>189</v>
      </c>
      <c r="C150" s="260">
        <f>SUMIFS($D$2:$D$134,$A$2:$A$134,"&lt;31.12.2021")-SUMIFS($D$2:$D$134,$A$2:$A$134,"&lt;1.12.2021")</f>
        <v>33.690000000000055</v>
      </c>
      <c r="D150" s="261">
        <f>COUNTIFS($A$2:$A$134,"&gt;=1.12.2021",$A$2:$A$134,"&lt;=31.12.2021")</f>
        <v>2</v>
      </c>
      <c r="E150" s="260">
        <f>SUMIFS($D$2:$D$134,$A$2:$A$134,"&lt;31.12.2021",$H$2:$H$134,"")-SUMIFS($D$2:$D$134,$A$2:$A$134,"&lt;1.12.2021",$H$2:$H$134,"")</f>
        <v>33.689999999999827</v>
      </c>
      <c r="F150" s="261">
        <f>COUNTIFS($A$2:$A$134,"&gt;=1.12.2021",$A$2:$A$134,"&lt;=31.12.2021",$H$2:$H$134,"")</f>
        <v>2</v>
      </c>
      <c r="G150" s="260">
        <f>SUMIFS($D$2:$D$134,$A$2:$A$134,"&lt;31.12.2020",$H$2:$H$134,"e")-SUMIFS($D$2:$D$134,$A$2:$A$134,"&lt;1.12.2020",$H$2:$H$134,"e")</f>
        <v>0</v>
      </c>
      <c r="H150" s="261">
        <f>COUNTIFS($A$2:$A$134,"&gt;=1.12.2021",$A$2:$A$134,"&lt;=31.12.2021",$H$2:$H$134,"e")</f>
        <v>0</v>
      </c>
    </row>
    <row r="151" spans="2:8" ht="13.5" thickBot="1" x14ac:dyDescent="0.25">
      <c r="B151" s="272" t="s">
        <v>90</v>
      </c>
      <c r="C151" s="262">
        <f>SUM(C139:C150)</f>
        <v>2145.9699999999998</v>
      </c>
      <c r="D151" s="263">
        <f>SUM(D139:D150)</f>
        <v>80</v>
      </c>
      <c r="E151" s="262">
        <f t="shared" ref="E151:H151" si="0">SUM(E139:E150)</f>
        <v>1855.9099999999992</v>
      </c>
      <c r="F151" s="263">
        <f t="shared" si="0"/>
        <v>66</v>
      </c>
      <c r="G151" s="262">
        <f t="shared" si="0"/>
        <v>155.20999999999998</v>
      </c>
      <c r="H151" s="264">
        <f t="shared" si="0"/>
        <v>10</v>
      </c>
    </row>
    <row r="155" spans="2:8" x14ac:dyDescent="0.2">
      <c r="B155" s="136" t="s">
        <v>195</v>
      </c>
      <c r="C155" s="33">
        <f>AVERAGEIFS(F2:F134,G2:G134,"&lt;500",H2:H134,"&lt;&gt;e")</f>
        <v>19.957931034482765</v>
      </c>
    </row>
    <row r="156" spans="2:8" x14ac:dyDescent="0.2">
      <c r="B156" s="136" t="s">
        <v>196</v>
      </c>
      <c r="C156" s="33">
        <f>AVERAGEIFS(F2:F134,G2:G134,"&gt;500",G2:G134,"&lt;1000",H2:H134,"&lt;&gt;e")</f>
        <v>16.783999999999999</v>
      </c>
    </row>
    <row r="157" spans="2:8" x14ac:dyDescent="0.2">
      <c r="B157" s="136" t="s">
        <v>194</v>
      </c>
      <c r="C157" s="33">
        <f>AVERAGEIFS(F2:F134,G2:G134,"&gt;1000")</f>
        <v>16.224999999999998</v>
      </c>
    </row>
    <row r="158" spans="2:8" ht="13.5" thickBot="1" x14ac:dyDescent="0.25">
      <c r="B158" s="136"/>
      <c r="C158" s="33"/>
    </row>
    <row r="159" spans="2:8" ht="15" thickBot="1" x14ac:dyDescent="0.25">
      <c r="B159" s="286" t="s">
        <v>278</v>
      </c>
      <c r="C159" s="287" t="s">
        <v>279</v>
      </c>
      <c r="D159" s="145"/>
    </row>
    <row r="160" spans="2:8" x14ac:dyDescent="0.2">
      <c r="B160" s="281" t="s">
        <v>277</v>
      </c>
      <c r="C160" s="282">
        <f>COUNTIFS($D$2:$D$134,"&lt;10")</f>
        <v>3</v>
      </c>
      <c r="D160" s="145"/>
    </row>
    <row r="161" spans="2:4" x14ac:dyDescent="0.2">
      <c r="B161" s="283" t="s">
        <v>274</v>
      </c>
      <c r="C161" s="280">
        <f>COUNTIFS($D$2:$D$134,"&gt;=10",$D$2:$D$134,"&lt;=20")</f>
        <v>32</v>
      </c>
      <c r="D161" s="145"/>
    </row>
    <row r="162" spans="2:4" x14ac:dyDescent="0.2">
      <c r="B162" s="283" t="s">
        <v>266</v>
      </c>
      <c r="C162" s="280">
        <f>COUNTIFS($D$2:$D$134,"&gt;=20",$D$2:$D$134,"&lt;=30")</f>
        <v>29</v>
      </c>
    </row>
    <row r="163" spans="2:4" x14ac:dyDescent="0.2">
      <c r="B163" s="283" t="s">
        <v>268</v>
      </c>
      <c r="C163" s="280">
        <f>COUNTIFS($D$2:$D$134,"&gt;=30",$D$2:$D$134,"&lt;=40")</f>
        <v>4</v>
      </c>
    </row>
    <row r="164" spans="2:4" x14ac:dyDescent="0.2">
      <c r="B164" s="283" t="s">
        <v>267</v>
      </c>
      <c r="C164" s="280">
        <f>COUNTIFS($D$2:$D$134,"&gt;=40",$D$2:$D$134,"&lt;=50")</f>
        <v>2</v>
      </c>
    </row>
    <row r="165" spans="2:4" x14ac:dyDescent="0.2">
      <c r="B165" s="283" t="s">
        <v>269</v>
      </c>
      <c r="C165" s="280">
        <f>COUNTIFS($D$2:$D$134,"&gt;=50",$D$2:$D$134,"&lt;=60")</f>
        <v>1</v>
      </c>
    </row>
    <row r="166" spans="2:4" x14ac:dyDescent="0.2">
      <c r="B166" s="283" t="s">
        <v>270</v>
      </c>
      <c r="C166" s="280">
        <f>COUNTIFS($D$2:$D$134,"&gt;=60",$D$2:$D$134,"&lt;=70")</f>
        <v>1</v>
      </c>
    </row>
    <row r="167" spans="2:4" x14ac:dyDescent="0.2">
      <c r="B167" s="283" t="s">
        <v>271</v>
      </c>
      <c r="C167" s="280">
        <f>COUNTIFS($D$2:$D$134,"&gt;=70",$D$2:$D$134,"&lt;=80")</f>
        <v>3</v>
      </c>
    </row>
    <row r="168" spans="2:4" x14ac:dyDescent="0.2">
      <c r="B168" s="283" t="s">
        <v>272</v>
      </c>
      <c r="C168" s="280">
        <f>COUNTIFS($D$2:$D$134,"&gt;=80",$D$2:$D$134,"&lt;=90")</f>
        <v>3</v>
      </c>
    </row>
    <row r="169" spans="2:4" x14ac:dyDescent="0.2">
      <c r="B169" s="283" t="s">
        <v>273</v>
      </c>
      <c r="C169" s="280">
        <f>COUNTIFS($D$2:$D$134,"&gt;=90",$D$2:$D$134,"&lt;=100")</f>
        <v>1</v>
      </c>
    </row>
    <row r="170" spans="2:4" x14ac:dyDescent="0.2">
      <c r="B170" s="283" t="s">
        <v>275</v>
      </c>
      <c r="C170" s="280">
        <f>COUNTIFS($D$2:$D$134,"&gt;=100",$D$2:$D$134,"&lt;=110")</f>
        <v>0</v>
      </c>
    </row>
    <row r="171" spans="2:4" ht="13.5" thickBot="1" x14ac:dyDescent="0.25">
      <c r="B171" s="284" t="s">
        <v>276</v>
      </c>
      <c r="C171" s="285">
        <f>COUNTIFS($D$2:$D$134,"&gt;=110",$D$2:$D$134,"&lt;=150")</f>
        <v>0</v>
      </c>
    </row>
    <row r="172" spans="2:4" x14ac:dyDescent="0.2">
      <c r="C172" s="31">
        <f>SUM(C160:C171)</f>
        <v>79</v>
      </c>
    </row>
  </sheetData>
  <mergeCells count="6">
    <mergeCell ref="K4:N4"/>
    <mergeCell ref="C137:D137"/>
    <mergeCell ref="E137:F137"/>
    <mergeCell ref="G137:H137"/>
    <mergeCell ref="B34:C37"/>
    <mergeCell ref="B60:B63"/>
  </mergeCells>
  <pageMargins left="0.7" right="0.7" top="0.78740157499999996" bottom="0.78740157499999996" header="0.3" footer="0.3"/>
  <pageSetup paperSize="9" orientation="portrait" r:id="rId1"/>
  <ignoredErrors>
    <ignoredError sqref="F135" 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14862-56F2-4406-96C4-F5E3D5802004}">
  <dimension ref="A1:Q172"/>
  <sheetViews>
    <sheetView zoomScaleNormal="100" workbookViewId="0">
      <pane ySplit="1" topLeftCell="A2" activePane="bottomLeft" state="frozen"/>
      <selection pane="bottomLeft" activeCell="H41" sqref="H41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43840</v>
      </c>
      <c r="B2" s="112"/>
      <c r="C2" s="188"/>
      <c r="D2" s="60">
        <v>9.76</v>
      </c>
      <c r="E2" s="61">
        <v>2.210648148148148E-2</v>
      </c>
      <c r="F2" s="148">
        <v>18.39</v>
      </c>
      <c r="G2" s="62">
        <v>122</v>
      </c>
      <c r="I2" s="214">
        <v>800</v>
      </c>
      <c r="K2" s="250" t="s">
        <v>245</v>
      </c>
    </row>
    <row r="3" spans="1:15" ht="13.5" thickBot="1" x14ac:dyDescent="0.25">
      <c r="A3" s="130">
        <v>43843</v>
      </c>
      <c r="B3" s="112"/>
      <c r="C3" s="189"/>
      <c r="D3" s="51">
        <v>15.2</v>
      </c>
      <c r="E3" s="52">
        <v>3.0613425925925929E-2</v>
      </c>
      <c r="F3" s="149">
        <v>20.6</v>
      </c>
      <c r="G3" s="53">
        <v>236</v>
      </c>
      <c r="H3" t="s">
        <v>265</v>
      </c>
      <c r="I3" s="215">
        <v>861</v>
      </c>
    </row>
    <row r="4" spans="1:15" ht="13.5" thickBot="1" x14ac:dyDescent="0.25">
      <c r="A4" s="130">
        <v>43844</v>
      </c>
      <c r="B4" s="112"/>
      <c r="C4" s="189"/>
      <c r="D4" s="51">
        <v>16.04</v>
      </c>
      <c r="E4" s="52">
        <v>3.1747685185185184E-2</v>
      </c>
      <c r="F4" s="149">
        <v>21.06</v>
      </c>
      <c r="G4" s="53">
        <v>206</v>
      </c>
      <c r="I4" s="215"/>
      <c r="K4" s="602" t="s">
        <v>246</v>
      </c>
      <c r="L4" s="591"/>
      <c r="M4" s="591"/>
      <c r="N4" s="592"/>
    </row>
    <row r="5" spans="1:15" x14ac:dyDescent="0.2">
      <c r="A5" s="130">
        <v>43846</v>
      </c>
      <c r="B5" s="112"/>
      <c r="C5" s="189"/>
      <c r="D5" s="51">
        <v>16.350000000000001</v>
      </c>
      <c r="E5" s="52">
        <v>3.4317129629629628E-2</v>
      </c>
      <c r="F5" s="149">
        <v>19.850000000000001</v>
      </c>
      <c r="G5" s="53">
        <v>202</v>
      </c>
      <c r="H5" s="32"/>
      <c r="I5" s="215"/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43847</v>
      </c>
      <c r="B6" s="112"/>
      <c r="C6" s="189"/>
      <c r="D6" s="51">
        <v>16.760000000000002</v>
      </c>
      <c r="E6" s="52">
        <v>3.5381944444444445E-2</v>
      </c>
      <c r="F6" s="149">
        <v>19.73</v>
      </c>
      <c r="G6" s="53">
        <v>215</v>
      </c>
      <c r="H6" s="133"/>
      <c r="I6" s="215"/>
      <c r="K6" s="255">
        <f>SUMIFS(D2:D134,H2:H134,"e")</f>
        <v>323.14999999999998</v>
      </c>
      <c r="L6" s="256">
        <f>SUMIFS(E2:E134,H2:$H$134,"e")</f>
        <v>0.86307870370370365</v>
      </c>
      <c r="M6" s="257">
        <f>AVERAGEIF(H2:H134,"e",F2:F134)</f>
        <v>15.0525</v>
      </c>
      <c r="N6" s="258">
        <f>SUMIFS(G2:G134,$H2:H$134,"e")</f>
        <v>3064</v>
      </c>
    </row>
    <row r="7" spans="1:15" x14ac:dyDescent="0.2">
      <c r="A7" s="130">
        <v>43872</v>
      </c>
      <c r="B7" s="112"/>
      <c r="C7" s="189"/>
      <c r="D7" s="51">
        <v>13.94</v>
      </c>
      <c r="E7" s="52">
        <v>3.1597222222222221E-2</v>
      </c>
      <c r="F7" s="149">
        <v>18.38</v>
      </c>
      <c r="G7" s="53">
        <v>165</v>
      </c>
      <c r="H7" s="133"/>
      <c r="I7" s="215"/>
    </row>
    <row r="8" spans="1:15" x14ac:dyDescent="0.2">
      <c r="A8" s="130">
        <v>43874</v>
      </c>
      <c r="B8" s="112"/>
      <c r="C8" s="189"/>
      <c r="D8" s="51">
        <v>16.14</v>
      </c>
      <c r="E8" s="52">
        <v>3.4618055555555555E-2</v>
      </c>
      <c r="F8" s="149">
        <v>19.43</v>
      </c>
      <c r="G8" s="53">
        <v>210</v>
      </c>
      <c r="I8" s="216"/>
    </row>
    <row r="9" spans="1:15" x14ac:dyDescent="0.2">
      <c r="A9" s="130">
        <v>43878</v>
      </c>
      <c r="B9" s="112"/>
      <c r="C9" s="189"/>
      <c r="D9" s="51">
        <v>18.36</v>
      </c>
      <c r="E9" s="52">
        <v>3.7303240740740741E-2</v>
      </c>
      <c r="F9" s="149">
        <v>20.5</v>
      </c>
      <c r="G9" s="53">
        <v>210</v>
      </c>
      <c r="I9" s="216"/>
    </row>
    <row r="10" spans="1:15" x14ac:dyDescent="0.2">
      <c r="A10" s="130">
        <v>43879</v>
      </c>
      <c r="B10" s="112"/>
      <c r="C10" s="189"/>
      <c r="D10" s="51">
        <v>24.34</v>
      </c>
      <c r="E10" s="52">
        <v>4.6724537037037044E-2</v>
      </c>
      <c r="F10" s="149">
        <v>21.71</v>
      </c>
      <c r="G10" s="53">
        <v>260</v>
      </c>
      <c r="I10" s="216"/>
      <c r="L10" s="186"/>
      <c r="M10" s="13"/>
      <c r="N10" s="186"/>
      <c r="O10" s="186"/>
    </row>
    <row r="11" spans="1:15" x14ac:dyDescent="0.2">
      <c r="A11" s="130">
        <v>43892</v>
      </c>
      <c r="B11" s="112"/>
      <c r="C11" s="189"/>
      <c r="D11" s="51">
        <v>16.2</v>
      </c>
      <c r="E11" s="52">
        <v>3.2719907407407406E-2</v>
      </c>
      <c r="F11" s="149">
        <v>20.63</v>
      </c>
      <c r="G11" s="53">
        <v>204</v>
      </c>
      <c r="I11" s="216"/>
      <c r="L11" s="194"/>
    </row>
    <row r="12" spans="1:15" x14ac:dyDescent="0.2">
      <c r="A12" s="130">
        <v>43894</v>
      </c>
      <c r="B12" s="112"/>
      <c r="C12" s="189"/>
      <c r="D12" s="51">
        <v>17.7</v>
      </c>
      <c r="E12" s="52">
        <v>3.8564814814814816E-2</v>
      </c>
      <c r="F12" s="149">
        <v>19.350000000000001</v>
      </c>
      <c r="G12" s="53">
        <v>305</v>
      </c>
      <c r="I12" s="216"/>
    </row>
    <row r="13" spans="1:15" x14ac:dyDescent="0.2">
      <c r="A13" s="130">
        <v>43895</v>
      </c>
      <c r="B13" s="112"/>
      <c r="C13" s="189"/>
      <c r="D13" s="51">
        <v>21.76</v>
      </c>
      <c r="E13" s="52">
        <v>4.4432870370370366E-2</v>
      </c>
      <c r="F13" s="149">
        <v>20.37</v>
      </c>
      <c r="G13" s="53">
        <v>233</v>
      </c>
      <c r="H13" s="16"/>
      <c r="I13" s="216"/>
      <c r="N13" s="36"/>
      <c r="O13" s="36"/>
    </row>
    <row r="14" spans="1:15" x14ac:dyDescent="0.2">
      <c r="A14" s="130">
        <v>43908</v>
      </c>
      <c r="B14" s="112"/>
      <c r="C14" s="189"/>
      <c r="D14" s="51">
        <v>25.54</v>
      </c>
      <c r="E14" s="52">
        <v>6.7523148148148152E-2</v>
      </c>
      <c r="F14" s="149">
        <v>15.76</v>
      </c>
      <c r="G14" s="53">
        <v>411</v>
      </c>
      <c r="I14" s="216"/>
      <c r="N14" s="184"/>
      <c r="O14" s="36"/>
    </row>
    <row r="15" spans="1:15" x14ac:dyDescent="0.2">
      <c r="A15" s="130">
        <v>43909</v>
      </c>
      <c r="B15" s="112"/>
      <c r="C15" s="189"/>
      <c r="D15" s="51">
        <v>45.57</v>
      </c>
      <c r="E15" s="52">
        <v>0.10699074074074073</v>
      </c>
      <c r="F15" s="149">
        <v>17.739999999999998</v>
      </c>
      <c r="G15" s="53">
        <v>583</v>
      </c>
      <c r="H15" s="16"/>
      <c r="I15" s="216"/>
      <c r="L15" s="186"/>
      <c r="N15" s="184"/>
      <c r="O15" s="36"/>
    </row>
    <row r="16" spans="1:15" x14ac:dyDescent="0.2">
      <c r="A16" s="130">
        <v>43915</v>
      </c>
      <c r="B16" s="112"/>
      <c r="C16" s="189"/>
      <c r="D16" s="51">
        <v>29.08</v>
      </c>
      <c r="E16" s="52">
        <v>7.6018518518518527E-2</v>
      </c>
      <c r="F16" s="149">
        <v>15.94</v>
      </c>
      <c r="G16" s="53">
        <v>614</v>
      </c>
      <c r="I16" s="216"/>
      <c r="N16" s="184"/>
      <c r="O16" s="36"/>
    </row>
    <row r="17" spans="1:17" x14ac:dyDescent="0.2">
      <c r="A17" s="130">
        <v>43928</v>
      </c>
      <c r="B17" s="112"/>
      <c r="C17" s="189"/>
      <c r="D17" s="51">
        <v>45.04</v>
      </c>
      <c r="E17" s="52">
        <v>0.10621527777777778</v>
      </c>
      <c r="F17" s="149">
        <v>17.670000000000002</v>
      </c>
      <c r="G17" s="53">
        <v>553</v>
      </c>
      <c r="H17" s="16"/>
      <c r="I17" s="216"/>
      <c r="N17" s="184"/>
      <c r="O17" s="36"/>
    </row>
    <row r="18" spans="1:17" x14ac:dyDescent="0.2">
      <c r="A18" s="130">
        <v>43930</v>
      </c>
      <c r="B18" s="112"/>
      <c r="C18" s="189"/>
      <c r="D18" s="51">
        <v>39.299999999999997</v>
      </c>
      <c r="E18" s="52">
        <v>9.5104166666666656E-2</v>
      </c>
      <c r="F18" s="149">
        <v>17.22</v>
      </c>
      <c r="G18" s="53">
        <v>518</v>
      </c>
      <c r="I18" s="216"/>
      <c r="N18" s="185"/>
      <c r="O18" s="36"/>
    </row>
    <row r="19" spans="1:17" x14ac:dyDescent="0.2">
      <c r="A19" s="130">
        <v>43933</v>
      </c>
      <c r="B19" s="112"/>
      <c r="C19" s="189"/>
      <c r="D19" s="51">
        <v>44.69</v>
      </c>
      <c r="E19" s="52">
        <v>0.11054398148148148</v>
      </c>
      <c r="F19" s="149">
        <v>16.84</v>
      </c>
      <c r="G19" s="53">
        <v>604</v>
      </c>
      <c r="H19" t="s">
        <v>244</v>
      </c>
      <c r="I19" s="216"/>
      <c r="J19" s="33"/>
      <c r="N19" s="36"/>
      <c r="O19" s="36"/>
    </row>
    <row r="20" spans="1:17" x14ac:dyDescent="0.2">
      <c r="A20" s="130">
        <v>43937</v>
      </c>
      <c r="B20" s="112"/>
      <c r="C20" s="189"/>
      <c r="D20" s="51">
        <v>57.93</v>
      </c>
      <c r="E20" s="52">
        <v>0.13652777777777778</v>
      </c>
      <c r="F20" s="149">
        <v>17.68</v>
      </c>
      <c r="G20" s="53">
        <v>689</v>
      </c>
      <c r="I20" s="216"/>
      <c r="N20" s="36"/>
      <c r="O20" s="36"/>
    </row>
    <row r="21" spans="1:17" ht="15" x14ac:dyDescent="0.2">
      <c r="A21" s="121">
        <v>43938</v>
      </c>
      <c r="B21" s="113"/>
      <c r="C21" s="190"/>
      <c r="D21" s="92">
        <v>30.98</v>
      </c>
      <c r="E21" s="93">
        <v>6.700231481481482E-2</v>
      </c>
      <c r="F21" s="98">
        <v>19.27</v>
      </c>
      <c r="G21" s="94">
        <v>399</v>
      </c>
      <c r="H21" s="273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43941</v>
      </c>
      <c r="B22" s="113"/>
      <c r="C22" s="190"/>
      <c r="D22" s="92">
        <v>23.28</v>
      </c>
      <c r="E22" s="93">
        <v>5.6238425925925928E-2</v>
      </c>
      <c r="F22" s="98">
        <v>17.25</v>
      </c>
      <c r="G22" s="94">
        <v>357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43942</v>
      </c>
      <c r="B23" s="113"/>
      <c r="C23" s="190"/>
      <c r="D23" s="92">
        <v>21.63</v>
      </c>
      <c r="E23" s="93">
        <v>4.1736111111111113E-2</v>
      </c>
      <c r="F23" s="98">
        <v>21.63</v>
      </c>
      <c r="G23" s="94">
        <v>215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43943</v>
      </c>
      <c r="B24" s="113"/>
      <c r="C24" s="190"/>
      <c r="D24" s="92">
        <v>17.18</v>
      </c>
      <c r="E24" s="93">
        <v>3.4826388888888886E-2</v>
      </c>
      <c r="F24" s="98">
        <v>20.56</v>
      </c>
      <c r="G24" s="94">
        <v>211</v>
      </c>
      <c r="H24" s="97"/>
      <c r="I24" s="218"/>
      <c r="K24" s="97"/>
      <c r="M24" s="97"/>
      <c r="O24" s="97"/>
      <c r="Q24" s="97"/>
    </row>
    <row r="25" spans="1:17" x14ac:dyDescent="0.2">
      <c r="A25" s="121">
        <v>43944</v>
      </c>
      <c r="B25" s="113"/>
      <c r="C25" s="190"/>
      <c r="D25" s="92">
        <v>56.16</v>
      </c>
      <c r="E25" s="93">
        <v>0.13118055555555555</v>
      </c>
      <c r="F25" s="98">
        <v>17.829999999999998</v>
      </c>
      <c r="G25" s="94">
        <v>674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43948</v>
      </c>
      <c r="B26" s="113"/>
      <c r="C26" s="190"/>
      <c r="D26" s="92">
        <v>21.44</v>
      </c>
      <c r="E26" s="93">
        <v>4.370370370370371E-2</v>
      </c>
      <c r="F26" s="98">
        <v>20.440000000000001</v>
      </c>
      <c r="G26" s="94">
        <v>219</v>
      </c>
      <c r="H26" s="119"/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0">
        <v>43949</v>
      </c>
      <c r="B27" s="113"/>
      <c r="C27" s="190"/>
      <c r="D27" s="92">
        <v>30.83</v>
      </c>
      <c r="E27" s="93">
        <v>7.3645833333333341E-2</v>
      </c>
      <c r="F27" s="98">
        <v>17.440000000000001</v>
      </c>
      <c r="G27" s="94">
        <v>427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43955</v>
      </c>
      <c r="B28" s="113"/>
      <c r="C28" s="190"/>
      <c r="D28" s="92">
        <v>20.71</v>
      </c>
      <c r="E28" s="93">
        <v>4.1354166666666664E-2</v>
      </c>
      <c r="F28" s="98">
        <v>20.86</v>
      </c>
      <c r="G28" s="94">
        <v>170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43958</v>
      </c>
      <c r="B29" s="113"/>
      <c r="C29" s="190"/>
      <c r="D29" s="92">
        <v>31.57</v>
      </c>
      <c r="E29" s="93">
        <v>6.0937499999999999E-2</v>
      </c>
      <c r="F29" s="98">
        <v>21.59</v>
      </c>
      <c r="G29" s="94">
        <v>281</v>
      </c>
      <c r="H29" s="88"/>
      <c r="I29" s="219"/>
      <c r="K29" s="97"/>
      <c r="M29" s="97"/>
      <c r="O29" s="97"/>
      <c r="Q29" s="97"/>
    </row>
    <row r="30" spans="1:17" x14ac:dyDescent="0.2">
      <c r="A30" s="120">
        <v>43962</v>
      </c>
      <c r="B30" s="114"/>
      <c r="C30" s="190"/>
      <c r="D30" s="92">
        <v>23.28</v>
      </c>
      <c r="E30" s="93">
        <v>5.4710648148148154E-2</v>
      </c>
      <c r="F30" s="98">
        <v>17.73</v>
      </c>
      <c r="G30" s="94">
        <v>458</v>
      </c>
      <c r="H30" s="97"/>
      <c r="I30" s="97"/>
      <c r="K30" s="97"/>
      <c r="M30" s="97"/>
      <c r="O30" s="97"/>
      <c r="Q30" s="97"/>
    </row>
    <row r="31" spans="1:17" x14ac:dyDescent="0.2">
      <c r="A31" s="120">
        <v>43963</v>
      </c>
      <c r="B31" s="114"/>
      <c r="C31" s="190"/>
      <c r="D31" s="92">
        <v>11.61</v>
      </c>
      <c r="E31" s="93">
        <v>2.5162037037037038E-2</v>
      </c>
      <c r="F31" s="98">
        <v>18.97</v>
      </c>
      <c r="G31" s="94">
        <v>178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43965</v>
      </c>
      <c r="B32" s="114"/>
      <c r="C32" s="190"/>
      <c r="D32" s="92">
        <v>23.12</v>
      </c>
      <c r="E32" s="93">
        <v>4.9537037037037039E-2</v>
      </c>
      <c r="F32" s="98">
        <v>19.440000000000001</v>
      </c>
      <c r="G32" s="94">
        <v>251</v>
      </c>
      <c r="M32" s="36"/>
      <c r="N32" s="36"/>
      <c r="O32" s="184"/>
      <c r="P32" s="90"/>
      <c r="Q32" s="36"/>
    </row>
    <row r="33" spans="1:17" x14ac:dyDescent="0.2">
      <c r="A33" s="120">
        <v>43966</v>
      </c>
      <c r="B33" s="114"/>
      <c r="C33" s="190"/>
      <c r="D33" s="92">
        <v>16.760000000000002</v>
      </c>
      <c r="E33" s="93">
        <v>3.4143518518518517E-2</v>
      </c>
      <c r="F33" s="98">
        <v>20.45</v>
      </c>
      <c r="G33" s="94">
        <v>196</v>
      </c>
      <c r="H33" s="88"/>
      <c r="M33" s="36"/>
      <c r="N33" s="36"/>
      <c r="O33" s="185"/>
      <c r="P33" s="36"/>
      <c r="Q33" s="36"/>
    </row>
    <row r="34" spans="1:17" x14ac:dyDescent="0.2">
      <c r="A34" s="121">
        <v>43967</v>
      </c>
      <c r="B34" s="113"/>
      <c r="C34" s="190"/>
      <c r="D34" s="92">
        <v>36.81</v>
      </c>
      <c r="E34" s="93">
        <v>8.1643518518518518E-2</v>
      </c>
      <c r="F34" s="98">
        <v>18.78</v>
      </c>
      <c r="G34" s="94">
        <v>780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1">
        <v>43969</v>
      </c>
      <c r="B35" s="113"/>
      <c r="C35" s="190"/>
      <c r="D35" s="92">
        <v>16.100000000000001</v>
      </c>
      <c r="E35" s="93">
        <v>3.3298611111111112E-2</v>
      </c>
      <c r="F35" s="98">
        <v>20.190000000000001</v>
      </c>
      <c r="G35" s="94">
        <v>200</v>
      </c>
      <c r="I35" s="97"/>
      <c r="J35" s="97"/>
      <c r="L35" s="184"/>
      <c r="M35" s="36"/>
      <c r="N35" s="36"/>
      <c r="O35" s="36"/>
      <c r="P35" s="36"/>
      <c r="Q35" s="36"/>
    </row>
    <row r="36" spans="1:17" x14ac:dyDescent="0.2">
      <c r="A36" s="121">
        <v>43970</v>
      </c>
      <c r="B36" s="113"/>
      <c r="C36" s="190"/>
      <c r="D36" s="92">
        <v>29.59</v>
      </c>
      <c r="E36" s="93">
        <v>5.4398148148148147E-2</v>
      </c>
      <c r="F36" s="98">
        <v>22.67</v>
      </c>
      <c r="G36" s="94">
        <v>203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1">
        <v>43971</v>
      </c>
      <c r="B37" s="113"/>
      <c r="C37" s="190"/>
      <c r="D37" s="92">
        <v>12.94</v>
      </c>
      <c r="E37" s="93">
        <v>2.5983796296296297E-2</v>
      </c>
      <c r="F37" s="98">
        <v>20.75</v>
      </c>
      <c r="G37" s="94">
        <v>108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43977</v>
      </c>
      <c r="B38" s="113"/>
      <c r="C38" s="190"/>
      <c r="D38" s="92">
        <v>10.02</v>
      </c>
      <c r="E38" s="93">
        <v>2.56712962962963E-2</v>
      </c>
      <c r="F38" s="98">
        <v>16.27</v>
      </c>
      <c r="G38" s="94">
        <v>144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43978</v>
      </c>
      <c r="B39" s="113"/>
      <c r="C39" s="190"/>
      <c r="D39" s="92">
        <v>9.26</v>
      </c>
      <c r="E39" s="93">
        <v>2.0844907407407406E-2</v>
      </c>
      <c r="F39" s="98">
        <v>18.52</v>
      </c>
      <c r="G39" s="94">
        <v>123</v>
      </c>
      <c r="H39" s="97"/>
      <c r="I39" s="97"/>
      <c r="J39" s="97"/>
    </row>
    <row r="40" spans="1:17" x14ac:dyDescent="0.2">
      <c r="A40" s="121">
        <v>43980</v>
      </c>
      <c r="B40" s="113"/>
      <c r="C40" s="190"/>
      <c r="D40" s="92">
        <v>26.16</v>
      </c>
      <c r="E40" s="93">
        <v>4.8194444444444449E-2</v>
      </c>
      <c r="F40" s="98">
        <v>22.61</v>
      </c>
      <c r="G40" s="94">
        <v>210</v>
      </c>
      <c r="H40" s="97"/>
      <c r="I40" s="97"/>
      <c r="J40" s="97"/>
    </row>
    <row r="41" spans="1:17" x14ac:dyDescent="0.2">
      <c r="A41" s="121">
        <v>43983</v>
      </c>
      <c r="B41" s="113"/>
      <c r="C41" s="190"/>
      <c r="D41" s="92">
        <v>42.49</v>
      </c>
      <c r="E41" s="93">
        <v>8.5694444444444448E-2</v>
      </c>
      <c r="F41" s="98">
        <v>20.66</v>
      </c>
      <c r="G41" s="94">
        <v>510</v>
      </c>
      <c r="H41" s="97"/>
      <c r="I41" s="97"/>
      <c r="J41" s="97"/>
    </row>
    <row r="42" spans="1:17" x14ac:dyDescent="0.2">
      <c r="A42" s="121">
        <v>43984</v>
      </c>
      <c r="B42" s="113"/>
      <c r="C42" s="190"/>
      <c r="D42" s="92">
        <v>26.88</v>
      </c>
      <c r="E42" s="93">
        <v>4.8101851851851847E-2</v>
      </c>
      <c r="F42" s="98">
        <v>23.28</v>
      </c>
      <c r="G42" s="94">
        <v>204</v>
      </c>
      <c r="H42" s="97"/>
      <c r="I42" s="97"/>
      <c r="J42" s="97"/>
    </row>
    <row r="43" spans="1:17" x14ac:dyDescent="0.2">
      <c r="A43" s="121">
        <v>43985</v>
      </c>
      <c r="B43" s="113"/>
      <c r="C43" s="190"/>
      <c r="D43" s="92">
        <v>26.28</v>
      </c>
      <c r="E43" s="93">
        <v>4.6412037037037036E-2</v>
      </c>
      <c r="F43" s="98">
        <v>23.59</v>
      </c>
      <c r="G43" s="94">
        <v>182</v>
      </c>
      <c r="H43" s="97"/>
      <c r="I43" s="97"/>
      <c r="J43" s="97"/>
    </row>
    <row r="44" spans="1:17" ht="15" x14ac:dyDescent="0.25">
      <c r="A44" s="121">
        <v>43986</v>
      </c>
      <c r="B44" s="113"/>
      <c r="C44" s="190"/>
      <c r="D44" s="92">
        <v>26.08</v>
      </c>
      <c r="E44" s="93">
        <v>4.4895833333333329E-2</v>
      </c>
      <c r="F44" s="98">
        <v>24.2</v>
      </c>
      <c r="G44" s="94">
        <v>188</v>
      </c>
      <c r="H44" s="95"/>
      <c r="I44" s="96"/>
      <c r="J44" s="97"/>
    </row>
    <row r="45" spans="1:17" x14ac:dyDescent="0.2">
      <c r="A45" s="121">
        <v>43990</v>
      </c>
      <c r="B45" s="113"/>
      <c r="C45" s="190"/>
      <c r="D45" s="92">
        <v>20.2</v>
      </c>
      <c r="E45" s="93">
        <v>4.0347222222222222E-2</v>
      </c>
      <c r="F45" s="98">
        <v>20.86</v>
      </c>
      <c r="G45" s="94">
        <v>215</v>
      </c>
      <c r="H45" s="97"/>
      <c r="I45" s="97"/>
      <c r="J45" s="97"/>
    </row>
    <row r="46" spans="1:17" x14ac:dyDescent="0.2">
      <c r="A46" s="278">
        <v>43991</v>
      </c>
      <c r="B46" s="279"/>
      <c r="C46" s="190"/>
      <c r="D46" s="92">
        <v>9.52</v>
      </c>
      <c r="E46" s="93">
        <v>2.0613425925925927E-2</v>
      </c>
      <c r="F46" s="98">
        <v>19.239999999999998</v>
      </c>
      <c r="G46" s="94">
        <v>124</v>
      </c>
      <c r="H46" s="97"/>
      <c r="I46" s="97"/>
      <c r="J46" s="97"/>
    </row>
    <row r="47" spans="1:17" x14ac:dyDescent="0.2">
      <c r="A47" s="278">
        <v>43995</v>
      </c>
      <c r="B47" s="279"/>
      <c r="C47" s="190"/>
      <c r="D47" s="92">
        <v>32.72</v>
      </c>
      <c r="E47" s="93">
        <v>6.1643518518518514E-2</v>
      </c>
      <c r="F47" s="98">
        <v>22.11</v>
      </c>
      <c r="G47" s="94">
        <v>306</v>
      </c>
      <c r="H47" s="97"/>
      <c r="I47" s="97"/>
      <c r="J47" s="97"/>
    </row>
    <row r="48" spans="1:17" x14ac:dyDescent="0.2">
      <c r="A48" s="278">
        <v>43997</v>
      </c>
      <c r="B48" s="279"/>
      <c r="C48" s="190"/>
      <c r="D48" s="92">
        <v>10.84</v>
      </c>
      <c r="E48" s="93">
        <v>3.4409722222222223E-2</v>
      </c>
      <c r="F48" s="98">
        <v>13.1</v>
      </c>
      <c r="G48" s="94">
        <v>72</v>
      </c>
      <c r="H48" s="97" t="s">
        <v>244</v>
      </c>
      <c r="I48" s="97"/>
      <c r="J48" s="97"/>
    </row>
    <row r="49" spans="1:14" x14ac:dyDescent="0.2">
      <c r="A49" s="123">
        <v>43999</v>
      </c>
      <c r="B49" s="610" t="s">
        <v>257</v>
      </c>
      <c r="C49" s="124"/>
      <c r="D49" s="125">
        <v>100.32</v>
      </c>
      <c r="E49" s="128">
        <v>0.33569444444444446</v>
      </c>
      <c r="F49" s="151">
        <v>12.45</v>
      </c>
      <c r="G49" s="132">
        <v>2779</v>
      </c>
      <c r="H49" s="97"/>
      <c r="I49" s="97"/>
      <c r="J49" s="97"/>
      <c r="N49" s="13"/>
    </row>
    <row r="50" spans="1:14" ht="15" x14ac:dyDescent="0.25">
      <c r="A50" s="123">
        <v>44000</v>
      </c>
      <c r="B50" s="611"/>
      <c r="C50" s="124"/>
      <c r="D50" s="125">
        <v>82.68</v>
      </c>
      <c r="E50" s="128">
        <v>0.24392361111111113</v>
      </c>
      <c r="F50" s="151">
        <v>14.12</v>
      </c>
      <c r="G50" s="132">
        <v>1405</v>
      </c>
      <c r="H50" s="95"/>
      <c r="I50" s="96"/>
      <c r="J50" s="97"/>
    </row>
    <row r="51" spans="1:14" x14ac:dyDescent="0.2">
      <c r="A51" s="123">
        <v>44001</v>
      </c>
      <c r="B51" s="612"/>
      <c r="C51" s="124"/>
      <c r="D51" s="125">
        <v>45.73</v>
      </c>
      <c r="E51" s="128">
        <v>0.13381944444444444</v>
      </c>
      <c r="F51" s="151">
        <v>14.23</v>
      </c>
      <c r="G51" s="132">
        <v>815</v>
      </c>
      <c r="H51" s="97"/>
      <c r="I51" s="97"/>
      <c r="J51" s="97"/>
    </row>
    <row r="52" spans="1:14" x14ac:dyDescent="0.2">
      <c r="A52" s="121">
        <v>44004</v>
      </c>
      <c r="B52" s="113"/>
      <c r="C52" s="190"/>
      <c r="D52" s="92">
        <v>16.22</v>
      </c>
      <c r="E52" s="93">
        <v>3.1030092592592592E-2</v>
      </c>
      <c r="F52" s="98">
        <v>21.78</v>
      </c>
      <c r="G52" s="94">
        <v>187</v>
      </c>
      <c r="H52" s="97"/>
      <c r="I52" s="97"/>
      <c r="J52" s="97"/>
    </row>
    <row r="53" spans="1:14" x14ac:dyDescent="0.2">
      <c r="A53" s="121">
        <v>44005</v>
      </c>
      <c r="B53" s="113"/>
      <c r="C53" s="190"/>
      <c r="D53" s="92">
        <v>26.48</v>
      </c>
      <c r="E53" s="93">
        <v>4.5636574074074072E-2</v>
      </c>
      <c r="F53" s="98">
        <v>24.17</v>
      </c>
      <c r="G53" s="94">
        <v>188</v>
      </c>
      <c r="H53" s="97"/>
      <c r="I53" s="100"/>
      <c r="J53" s="97"/>
    </row>
    <row r="54" spans="1:14" x14ac:dyDescent="0.2">
      <c r="A54" s="121">
        <v>44006</v>
      </c>
      <c r="B54" s="113"/>
      <c r="C54" s="190"/>
      <c r="D54" s="92">
        <v>24.39</v>
      </c>
      <c r="E54" s="93">
        <v>4.1874999999999996E-2</v>
      </c>
      <c r="F54" s="98">
        <v>24.27</v>
      </c>
      <c r="G54" s="94">
        <v>168</v>
      </c>
      <c r="H54" s="97"/>
      <c r="I54" s="97"/>
      <c r="J54" s="97"/>
    </row>
    <row r="55" spans="1:14" ht="12.75" customHeight="1" x14ac:dyDescent="0.2">
      <c r="A55" s="121">
        <v>44012</v>
      </c>
      <c r="B55" s="113"/>
      <c r="C55" s="190"/>
      <c r="D55" s="92">
        <v>13.13</v>
      </c>
      <c r="E55" s="93">
        <v>3.050925925925926E-2</v>
      </c>
      <c r="F55" s="98">
        <v>17.93</v>
      </c>
      <c r="G55" s="94">
        <v>146</v>
      </c>
      <c r="H55" s="97"/>
      <c r="I55" s="97"/>
      <c r="J55" s="134"/>
    </row>
    <row r="56" spans="1:14" x14ac:dyDescent="0.2">
      <c r="A56" s="121">
        <v>44013</v>
      </c>
      <c r="B56" s="113"/>
      <c r="C56" s="190"/>
      <c r="D56" s="92">
        <v>23.8</v>
      </c>
      <c r="E56" s="93">
        <v>4.7488425925925927E-2</v>
      </c>
      <c r="F56" s="98">
        <v>20.88</v>
      </c>
      <c r="G56" s="94">
        <v>281</v>
      </c>
      <c r="H56" s="97"/>
      <c r="I56" s="97"/>
      <c r="J56" s="97"/>
    </row>
    <row r="57" spans="1:14" x14ac:dyDescent="0.2">
      <c r="A57" s="121">
        <v>44019</v>
      </c>
      <c r="B57" s="113"/>
      <c r="C57" s="190"/>
      <c r="D57" s="92">
        <v>36.74</v>
      </c>
      <c r="E57" s="93">
        <v>7.0358796296296308E-2</v>
      </c>
      <c r="F57" s="98">
        <v>21.76</v>
      </c>
      <c r="G57" s="94">
        <v>239</v>
      </c>
      <c r="H57" s="97"/>
      <c r="J57" s="97"/>
    </row>
    <row r="58" spans="1:14" x14ac:dyDescent="0.2">
      <c r="A58" s="121">
        <v>44020</v>
      </c>
      <c r="B58" s="113"/>
      <c r="C58" s="190"/>
      <c r="D58" s="92">
        <v>26.55</v>
      </c>
      <c r="E58" s="93">
        <v>4.7395833333333331E-2</v>
      </c>
      <c r="F58" s="98">
        <v>23.35</v>
      </c>
      <c r="G58" s="94">
        <v>189</v>
      </c>
      <c r="H58" s="97"/>
      <c r="I58" s="97"/>
      <c r="J58" s="97"/>
    </row>
    <row r="59" spans="1:14" x14ac:dyDescent="0.2">
      <c r="A59" s="121">
        <v>44021</v>
      </c>
      <c r="B59" s="113"/>
      <c r="C59" s="190"/>
      <c r="D59" s="92">
        <v>31.53</v>
      </c>
      <c r="E59" s="93">
        <v>5.9884259259259255E-2</v>
      </c>
      <c r="F59" s="98">
        <v>21.93</v>
      </c>
      <c r="G59" s="94">
        <v>227</v>
      </c>
      <c r="H59" s="274"/>
      <c r="I59" s="97"/>
      <c r="J59" s="134"/>
    </row>
    <row r="60" spans="1:14" x14ac:dyDescent="0.2">
      <c r="A60" s="121">
        <v>44022</v>
      </c>
      <c r="B60" s="113"/>
      <c r="C60" s="190"/>
      <c r="D60" s="92">
        <v>16.21</v>
      </c>
      <c r="E60" s="93">
        <v>3.2048611111111111E-2</v>
      </c>
      <c r="F60" s="98">
        <v>21.07</v>
      </c>
      <c r="G60" s="94">
        <v>189</v>
      </c>
      <c r="H60" s="97"/>
      <c r="I60" s="97"/>
      <c r="J60" s="97"/>
    </row>
    <row r="61" spans="1:14" x14ac:dyDescent="0.2">
      <c r="A61" s="121">
        <v>44022</v>
      </c>
      <c r="B61" s="113"/>
      <c r="C61" s="190"/>
      <c r="D61" s="92">
        <v>7.32</v>
      </c>
      <c r="E61" s="93">
        <v>2.0497685185185185E-2</v>
      </c>
      <c r="F61" s="98">
        <v>14.88</v>
      </c>
      <c r="G61" s="94">
        <v>146</v>
      </c>
      <c r="H61" s="97" t="s">
        <v>244</v>
      </c>
      <c r="I61" s="97"/>
      <c r="J61" s="97"/>
    </row>
    <row r="62" spans="1:14" x14ac:dyDescent="0.2">
      <c r="A62" s="121">
        <v>44026</v>
      </c>
      <c r="B62" s="113"/>
      <c r="C62" s="190"/>
      <c r="D62" s="92">
        <v>28.13</v>
      </c>
      <c r="E62" s="93">
        <v>6.1064814814814815E-2</v>
      </c>
      <c r="F62" s="98">
        <v>19.190000000000001</v>
      </c>
      <c r="G62" s="94">
        <v>278</v>
      </c>
      <c r="H62" s="97"/>
      <c r="I62" s="97"/>
      <c r="J62" s="97"/>
    </row>
    <row r="63" spans="1:14" x14ac:dyDescent="0.2">
      <c r="A63" s="121">
        <v>44027</v>
      </c>
      <c r="B63" s="113"/>
      <c r="C63" s="190"/>
      <c r="D63" s="92">
        <v>26.39</v>
      </c>
      <c r="E63" s="93">
        <v>4.6250000000000006E-2</v>
      </c>
      <c r="F63" s="98">
        <v>23.77</v>
      </c>
      <c r="G63" s="94">
        <v>184</v>
      </c>
      <c r="H63" s="97"/>
      <c r="I63" s="97"/>
      <c r="J63" s="97"/>
    </row>
    <row r="64" spans="1:14" x14ac:dyDescent="0.2">
      <c r="A64" s="121">
        <v>44029</v>
      </c>
      <c r="B64" s="113"/>
      <c r="C64" s="190"/>
      <c r="D64" s="92">
        <v>16.239999999999998</v>
      </c>
      <c r="E64" s="93">
        <v>3.2233796296296295E-2</v>
      </c>
      <c r="F64" s="98">
        <v>21.01</v>
      </c>
      <c r="G64" s="94">
        <v>191</v>
      </c>
      <c r="H64" s="97"/>
    </row>
    <row r="65" spans="1:9" x14ac:dyDescent="0.2">
      <c r="A65" s="121">
        <v>44030</v>
      </c>
      <c r="B65" s="113"/>
      <c r="C65" s="190"/>
      <c r="D65" s="92">
        <v>51.23</v>
      </c>
      <c r="E65" s="93">
        <v>0.10892361111111111</v>
      </c>
      <c r="F65" s="98">
        <v>19.59</v>
      </c>
      <c r="G65" s="94">
        <v>267</v>
      </c>
      <c r="H65" s="97" t="s">
        <v>244</v>
      </c>
    </row>
    <row r="66" spans="1:9" x14ac:dyDescent="0.2">
      <c r="A66" s="121">
        <v>44032</v>
      </c>
      <c r="B66" s="113"/>
      <c r="C66" s="190"/>
      <c r="D66" s="92">
        <v>21.62</v>
      </c>
      <c r="E66" s="93">
        <v>3.9328703703703706E-2</v>
      </c>
      <c r="F66" s="98">
        <v>22.92</v>
      </c>
      <c r="G66" s="94">
        <v>208</v>
      </c>
      <c r="H66" s="97"/>
    </row>
    <row r="67" spans="1:9" x14ac:dyDescent="0.2">
      <c r="A67" s="121">
        <v>44033</v>
      </c>
      <c r="B67" s="113"/>
      <c r="C67" s="190"/>
      <c r="D67" s="92">
        <v>27</v>
      </c>
      <c r="E67" s="93">
        <v>4.7581018518518516E-2</v>
      </c>
      <c r="F67" s="98">
        <v>26.65</v>
      </c>
      <c r="G67" s="94">
        <v>204</v>
      </c>
      <c r="H67" s="97"/>
    </row>
    <row r="68" spans="1:9" x14ac:dyDescent="0.2">
      <c r="A68" s="121">
        <v>44035</v>
      </c>
      <c r="B68" s="190"/>
      <c r="C68" s="92"/>
      <c r="D68" s="92">
        <v>9.6999999999999993</v>
      </c>
      <c r="E68" s="93">
        <v>2.2314814814814815E-2</v>
      </c>
      <c r="F68" s="98">
        <v>18.12</v>
      </c>
      <c r="G68" s="94">
        <v>142</v>
      </c>
      <c r="H68" s="97"/>
      <c r="I68" s="33"/>
    </row>
    <row r="69" spans="1:9" x14ac:dyDescent="0.2">
      <c r="A69" s="121">
        <v>44036</v>
      </c>
      <c r="B69" s="190"/>
      <c r="C69" s="92"/>
      <c r="D69" s="92">
        <v>16.11</v>
      </c>
      <c r="E69" s="93">
        <v>4.4085648148148145E-2</v>
      </c>
      <c r="F69" s="98">
        <v>15.22</v>
      </c>
      <c r="G69" s="94">
        <v>256</v>
      </c>
      <c r="H69" s="97" t="s">
        <v>244</v>
      </c>
    </row>
    <row r="70" spans="1:9" x14ac:dyDescent="0.2">
      <c r="A70" s="121">
        <v>44037</v>
      </c>
      <c r="B70" s="113"/>
      <c r="C70" s="190"/>
      <c r="D70" s="92">
        <v>45.43</v>
      </c>
      <c r="E70" s="93">
        <v>0.10533564814814815</v>
      </c>
      <c r="F70" s="98">
        <v>17.97</v>
      </c>
      <c r="G70" s="94">
        <v>539</v>
      </c>
      <c r="H70" s="97" t="s">
        <v>244</v>
      </c>
    </row>
    <row r="71" spans="1:9" x14ac:dyDescent="0.2">
      <c r="A71" s="121">
        <v>44039</v>
      </c>
      <c r="B71" s="113"/>
      <c r="C71" s="190"/>
      <c r="D71" s="92">
        <v>24.95</v>
      </c>
      <c r="E71" s="93">
        <v>4.3912037037037034E-2</v>
      </c>
      <c r="F71" s="98">
        <v>23.68</v>
      </c>
      <c r="G71" s="94">
        <v>176</v>
      </c>
      <c r="H71" s="97"/>
    </row>
    <row r="72" spans="1:9" x14ac:dyDescent="0.2">
      <c r="A72" s="121">
        <v>44040</v>
      </c>
      <c r="B72" s="113"/>
      <c r="C72" s="190"/>
      <c r="D72" s="92">
        <v>31.78</v>
      </c>
      <c r="E72" s="93">
        <v>6.1932870370370374E-2</v>
      </c>
      <c r="F72" s="98">
        <v>21.38</v>
      </c>
      <c r="G72" s="94">
        <v>343</v>
      </c>
      <c r="H72" s="97"/>
    </row>
    <row r="73" spans="1:9" x14ac:dyDescent="0.2">
      <c r="A73" s="121">
        <v>44041</v>
      </c>
      <c r="B73" s="113"/>
      <c r="C73" s="190"/>
      <c r="D73" s="92">
        <v>24.91</v>
      </c>
      <c r="E73" s="93">
        <v>4.9837962962962966E-2</v>
      </c>
      <c r="F73" s="98">
        <v>20.82</v>
      </c>
      <c r="G73" s="94">
        <v>261</v>
      </c>
      <c r="H73" s="97"/>
    </row>
    <row r="74" spans="1:9" x14ac:dyDescent="0.2">
      <c r="A74" s="121">
        <v>44042</v>
      </c>
      <c r="B74" s="113"/>
      <c r="C74" s="190"/>
      <c r="D74" s="92">
        <v>26.27</v>
      </c>
      <c r="E74" s="93">
        <v>4.6400462962962963E-2</v>
      </c>
      <c r="F74" s="98">
        <v>23.6</v>
      </c>
      <c r="G74" s="94">
        <v>183</v>
      </c>
      <c r="H74" s="275"/>
    </row>
    <row r="75" spans="1:9" x14ac:dyDescent="0.2">
      <c r="A75" s="121">
        <v>44043</v>
      </c>
      <c r="B75" s="113"/>
      <c r="C75" s="190"/>
      <c r="D75" s="92">
        <v>13.33</v>
      </c>
      <c r="E75" s="93">
        <v>2.6712962962962966E-2</v>
      </c>
      <c r="F75" s="98">
        <v>20.8</v>
      </c>
      <c r="G75" s="94">
        <v>145</v>
      </c>
      <c r="H75" s="97"/>
    </row>
    <row r="76" spans="1:9" x14ac:dyDescent="0.2">
      <c r="A76" s="121">
        <v>44049</v>
      </c>
      <c r="B76" s="613" t="s">
        <v>258</v>
      </c>
      <c r="C76" s="190"/>
      <c r="D76" s="92">
        <v>48.04</v>
      </c>
      <c r="E76" s="93">
        <v>0.13793981481481482</v>
      </c>
      <c r="F76" s="98">
        <v>14.51</v>
      </c>
      <c r="G76" s="94">
        <v>171</v>
      </c>
      <c r="H76" s="97" t="s">
        <v>244</v>
      </c>
    </row>
    <row r="77" spans="1:9" x14ac:dyDescent="0.2">
      <c r="A77" s="121">
        <v>44050</v>
      </c>
      <c r="B77" s="614"/>
      <c r="C77" s="190"/>
      <c r="D77" s="92">
        <v>5.56</v>
      </c>
      <c r="E77" s="93">
        <v>1.064814814814815E-2</v>
      </c>
      <c r="F77" s="98">
        <v>21.8</v>
      </c>
      <c r="G77" s="94">
        <v>16</v>
      </c>
      <c r="H77" s="97"/>
    </row>
    <row r="78" spans="1:9" x14ac:dyDescent="0.2">
      <c r="A78" s="121">
        <v>44051</v>
      </c>
      <c r="B78" s="615"/>
      <c r="C78" s="190"/>
      <c r="D78" s="92">
        <v>29.93</v>
      </c>
      <c r="E78" s="93">
        <v>8.5335648148148147E-2</v>
      </c>
      <c r="F78" s="98">
        <v>14.61</v>
      </c>
      <c r="G78" s="94">
        <v>70</v>
      </c>
      <c r="H78" s="97" t="s">
        <v>244</v>
      </c>
    </row>
    <row r="79" spans="1:9" x14ac:dyDescent="0.2">
      <c r="A79" s="121">
        <v>44053</v>
      </c>
      <c r="C79" s="190"/>
      <c r="D79" s="92">
        <v>17.22</v>
      </c>
      <c r="E79" s="93">
        <v>3.4756944444444444E-2</v>
      </c>
      <c r="F79" s="98">
        <v>20.65</v>
      </c>
      <c r="G79" s="94">
        <v>189</v>
      </c>
      <c r="H79" s="97"/>
    </row>
    <row r="80" spans="1:9" x14ac:dyDescent="0.2">
      <c r="A80" s="121">
        <v>44054</v>
      </c>
      <c r="B80" s="113"/>
      <c r="C80" s="190"/>
      <c r="D80" s="92">
        <v>25.14</v>
      </c>
      <c r="E80" s="93">
        <v>4.6319444444444441E-2</v>
      </c>
      <c r="F80" s="98">
        <v>22.61</v>
      </c>
      <c r="G80" s="94">
        <v>191</v>
      </c>
      <c r="H80" s="97"/>
    </row>
    <row r="81" spans="1:14" x14ac:dyDescent="0.2">
      <c r="A81" s="121">
        <v>44055</v>
      </c>
      <c r="B81" s="113"/>
      <c r="C81" s="190"/>
      <c r="D81" s="92">
        <v>24.99</v>
      </c>
      <c r="E81" s="93">
        <v>4.4618055555555557E-2</v>
      </c>
      <c r="F81" s="98">
        <v>23.34</v>
      </c>
      <c r="G81" s="94">
        <v>280</v>
      </c>
      <c r="H81" s="97"/>
    </row>
    <row r="82" spans="1:14" x14ac:dyDescent="0.2">
      <c r="A82" s="121">
        <v>44056</v>
      </c>
      <c r="B82" s="113"/>
      <c r="C82" s="190"/>
      <c r="D82" s="92">
        <v>17.46</v>
      </c>
      <c r="E82" s="93">
        <v>4.5671296296296293E-2</v>
      </c>
      <c r="F82" s="98">
        <v>15.93</v>
      </c>
      <c r="G82" s="94">
        <v>276</v>
      </c>
      <c r="H82" s="97" t="s">
        <v>244</v>
      </c>
    </row>
    <row r="83" spans="1:14" x14ac:dyDescent="0.2">
      <c r="A83" s="121">
        <v>44061</v>
      </c>
      <c r="B83" s="113"/>
      <c r="C83" s="190"/>
      <c r="D83" s="92">
        <v>25.14</v>
      </c>
      <c r="E83" s="93">
        <v>4.5439814814814815E-2</v>
      </c>
      <c r="F83" s="98">
        <v>23.05</v>
      </c>
      <c r="G83" s="94">
        <v>194</v>
      </c>
      <c r="H83" s="97"/>
    </row>
    <row r="84" spans="1:14" x14ac:dyDescent="0.2">
      <c r="A84" s="121">
        <v>44062</v>
      </c>
      <c r="B84" s="113"/>
      <c r="C84" s="190"/>
      <c r="D84" s="92">
        <v>30.22</v>
      </c>
      <c r="E84" s="93">
        <v>6.5324074074074076E-2</v>
      </c>
      <c r="F84" s="98">
        <v>19.28</v>
      </c>
      <c r="G84" s="94">
        <v>165</v>
      </c>
      <c r="H84" s="97"/>
    </row>
    <row r="85" spans="1:14" x14ac:dyDescent="0.2">
      <c r="A85" s="121">
        <v>44063</v>
      </c>
      <c r="B85" s="113"/>
      <c r="C85" s="190"/>
      <c r="D85" s="92">
        <v>26.3</v>
      </c>
      <c r="E85" s="93">
        <v>4.5185185185185189E-2</v>
      </c>
      <c r="F85" s="98">
        <v>24.25</v>
      </c>
      <c r="G85" s="94">
        <v>179</v>
      </c>
      <c r="H85" s="97"/>
    </row>
    <row r="86" spans="1:14" x14ac:dyDescent="0.2">
      <c r="A86" s="121">
        <v>44067</v>
      </c>
      <c r="B86" s="113"/>
      <c r="C86" s="190"/>
      <c r="D86" s="92">
        <v>76.23</v>
      </c>
      <c r="E86" s="93">
        <v>0.14863425925925924</v>
      </c>
      <c r="F86" s="98">
        <v>21.37</v>
      </c>
      <c r="G86" s="94">
        <v>738</v>
      </c>
      <c r="H86" s="97"/>
    </row>
    <row r="87" spans="1:14" x14ac:dyDescent="0.2">
      <c r="A87" s="121">
        <v>44068</v>
      </c>
      <c r="B87" s="113"/>
      <c r="C87" s="190"/>
      <c r="D87" s="92">
        <v>16.91</v>
      </c>
      <c r="E87" s="93">
        <v>3.2233796296296295E-2</v>
      </c>
      <c r="F87" s="98">
        <v>21.86</v>
      </c>
      <c r="G87" s="94">
        <v>169</v>
      </c>
      <c r="H87" s="97"/>
    </row>
    <row r="88" spans="1:14" x14ac:dyDescent="0.2">
      <c r="A88" s="121">
        <v>44069</v>
      </c>
      <c r="B88" s="113"/>
      <c r="C88" s="190"/>
      <c r="D88" s="92">
        <v>13.22</v>
      </c>
      <c r="E88" s="93">
        <v>2.614583333333333E-2</v>
      </c>
      <c r="F88" s="98">
        <v>21.08</v>
      </c>
      <c r="G88" s="94">
        <v>159</v>
      </c>
      <c r="H88" s="97"/>
    </row>
    <row r="89" spans="1:14" x14ac:dyDescent="0.2">
      <c r="A89" s="121">
        <v>44070</v>
      </c>
      <c r="B89" s="113"/>
      <c r="C89" s="190"/>
      <c r="D89" s="92">
        <v>11.79</v>
      </c>
      <c r="E89" s="93">
        <v>4.1435185185185179E-2</v>
      </c>
      <c r="F89" s="98">
        <v>11.86</v>
      </c>
      <c r="G89" s="94">
        <v>140</v>
      </c>
      <c r="H89" s="97" t="s">
        <v>244</v>
      </c>
    </row>
    <row r="90" spans="1:14" x14ac:dyDescent="0.2">
      <c r="A90" s="121">
        <v>44071</v>
      </c>
      <c r="B90" s="113"/>
      <c r="C90" s="190"/>
      <c r="D90" s="92">
        <v>17.28</v>
      </c>
      <c r="E90" s="93">
        <v>5.4293981481481485E-2</v>
      </c>
      <c r="F90" s="98">
        <v>13.26</v>
      </c>
      <c r="G90" s="94">
        <v>147</v>
      </c>
      <c r="H90" s="97" t="s">
        <v>244</v>
      </c>
      <c r="J90" s="13"/>
    </row>
    <row r="91" spans="1:14" x14ac:dyDescent="0.2">
      <c r="A91" s="121">
        <v>44072</v>
      </c>
      <c r="B91" s="113"/>
      <c r="C91" s="190"/>
      <c r="D91" s="92">
        <v>36.409999999999997</v>
      </c>
      <c r="E91" s="93">
        <v>8.0289351851851862E-2</v>
      </c>
      <c r="F91" s="98">
        <v>18.89</v>
      </c>
      <c r="G91" s="94">
        <v>759</v>
      </c>
      <c r="H91" s="97"/>
    </row>
    <row r="92" spans="1:14" x14ac:dyDescent="0.2">
      <c r="A92" s="121">
        <v>44076</v>
      </c>
      <c r="B92" s="113"/>
      <c r="C92" s="190"/>
      <c r="D92" s="92">
        <v>17.149999999999999</v>
      </c>
      <c r="E92" s="93">
        <v>3.2997685185185185E-2</v>
      </c>
      <c r="F92" s="98">
        <v>21.66</v>
      </c>
      <c r="G92" s="94">
        <v>174</v>
      </c>
      <c r="H92" s="97"/>
      <c r="I92" s="33"/>
      <c r="K92" s="33"/>
      <c r="L92" s="33"/>
      <c r="M92" s="33"/>
      <c r="N92" s="33"/>
    </row>
    <row r="93" spans="1:14" x14ac:dyDescent="0.2">
      <c r="A93" s="121">
        <v>44077</v>
      </c>
      <c r="B93" s="113"/>
      <c r="C93" s="190"/>
      <c r="D93" s="92">
        <v>13.21</v>
      </c>
      <c r="E93" s="93">
        <v>2.6712962962962966E-2</v>
      </c>
      <c r="F93" s="98">
        <v>20.6</v>
      </c>
      <c r="G93" s="94">
        <v>146</v>
      </c>
      <c r="H93" s="97"/>
    </row>
    <row r="94" spans="1:14" x14ac:dyDescent="0.2">
      <c r="A94" s="121">
        <v>44078</v>
      </c>
      <c r="B94" s="113"/>
      <c r="C94" s="190"/>
      <c r="D94" s="92">
        <v>15.73</v>
      </c>
      <c r="E94" s="93">
        <v>3.0914351851851849E-2</v>
      </c>
      <c r="F94" s="98">
        <v>21.21</v>
      </c>
      <c r="G94" s="94">
        <v>192</v>
      </c>
      <c r="H94" s="97"/>
    </row>
    <row r="95" spans="1:14" x14ac:dyDescent="0.2">
      <c r="A95" s="121">
        <v>44080</v>
      </c>
      <c r="B95" s="113"/>
      <c r="C95" s="190"/>
      <c r="D95" s="92">
        <v>22.3</v>
      </c>
      <c r="E95" s="93">
        <v>4.2291666666666665E-2</v>
      </c>
      <c r="F95" s="98">
        <v>21.97</v>
      </c>
      <c r="G95" s="94">
        <v>239</v>
      </c>
      <c r="H95" s="97"/>
    </row>
    <row r="96" spans="1:14" ht="15" x14ac:dyDescent="0.2">
      <c r="A96" s="131">
        <v>44080</v>
      </c>
      <c r="B96" s="67" t="s">
        <v>259</v>
      </c>
      <c r="C96" s="118">
        <v>48</v>
      </c>
      <c r="D96" s="67">
        <v>20.74</v>
      </c>
      <c r="E96" s="68">
        <v>4.0034722222222222E-2</v>
      </c>
      <c r="F96" s="150">
        <v>21.59</v>
      </c>
      <c r="G96" s="69">
        <v>344</v>
      </c>
      <c r="H96" s="97"/>
    </row>
    <row r="97" spans="1:8" x14ac:dyDescent="0.2">
      <c r="A97" s="121">
        <v>44080</v>
      </c>
      <c r="B97" s="113"/>
      <c r="C97" s="190"/>
      <c r="D97" s="92">
        <v>25.17</v>
      </c>
      <c r="E97" s="93">
        <v>5.2905092592592594E-2</v>
      </c>
      <c r="F97" s="98">
        <v>19.82</v>
      </c>
      <c r="G97" s="94">
        <v>243</v>
      </c>
      <c r="H97" s="97"/>
    </row>
    <row r="98" spans="1:8" x14ac:dyDescent="0.2">
      <c r="A98" s="121">
        <v>44081</v>
      </c>
      <c r="B98" s="113"/>
      <c r="C98" s="190"/>
      <c r="D98" s="92">
        <v>16.07</v>
      </c>
      <c r="E98" s="93">
        <v>3.2303240740740737E-2</v>
      </c>
      <c r="F98" s="98">
        <v>20.72</v>
      </c>
      <c r="G98" s="94">
        <v>187</v>
      </c>
      <c r="H98" s="97"/>
    </row>
    <row r="99" spans="1:8" x14ac:dyDescent="0.2">
      <c r="A99" s="121">
        <v>44082</v>
      </c>
      <c r="B99" s="113"/>
      <c r="C99" s="190"/>
      <c r="D99" s="92">
        <v>19.760000000000002</v>
      </c>
      <c r="E99" s="93">
        <v>3.8645833333333331E-2</v>
      </c>
      <c r="F99" s="98">
        <v>21.3</v>
      </c>
      <c r="G99" s="94">
        <v>211</v>
      </c>
      <c r="H99" s="97"/>
    </row>
    <row r="100" spans="1:8" x14ac:dyDescent="0.2">
      <c r="A100" s="121">
        <v>44083</v>
      </c>
      <c r="B100" s="113"/>
      <c r="C100" s="190"/>
      <c r="D100" s="92">
        <v>17</v>
      </c>
      <c r="E100" s="93">
        <v>3.2997685185185185E-2</v>
      </c>
      <c r="F100" s="98">
        <v>21.47</v>
      </c>
      <c r="G100" s="94">
        <v>168</v>
      </c>
      <c r="H100" s="97"/>
    </row>
    <row r="101" spans="1:8" x14ac:dyDescent="0.2">
      <c r="A101" s="121">
        <v>44085</v>
      </c>
      <c r="B101" s="113"/>
      <c r="C101" s="190"/>
      <c r="D101" s="92">
        <v>20.23</v>
      </c>
      <c r="E101" s="93">
        <v>4.1655092592592598E-2</v>
      </c>
      <c r="F101" s="98">
        <v>20.23</v>
      </c>
      <c r="G101" s="94">
        <v>228</v>
      </c>
      <c r="H101" s="97"/>
    </row>
    <row r="102" spans="1:8" x14ac:dyDescent="0.2">
      <c r="A102" s="121">
        <v>44087</v>
      </c>
      <c r="B102" s="113"/>
      <c r="C102" s="190"/>
      <c r="D102" s="92">
        <v>23.03</v>
      </c>
      <c r="E102" s="93">
        <v>7.4606481481481482E-2</v>
      </c>
      <c r="F102" s="98">
        <v>12.86</v>
      </c>
      <c r="G102" s="94">
        <v>376</v>
      </c>
      <c r="H102" s="97" t="s">
        <v>244</v>
      </c>
    </row>
    <row r="103" spans="1:8" x14ac:dyDescent="0.2">
      <c r="A103" s="121">
        <v>44088</v>
      </c>
      <c r="B103" s="113"/>
      <c r="C103" s="190"/>
      <c r="D103" s="92">
        <v>17.61</v>
      </c>
      <c r="E103" s="93">
        <v>3.7048611111111109E-2</v>
      </c>
      <c r="F103" s="98">
        <v>19.809999999999999</v>
      </c>
      <c r="G103" s="94">
        <v>172</v>
      </c>
      <c r="H103" s="97"/>
    </row>
    <row r="104" spans="1:8" x14ac:dyDescent="0.2">
      <c r="A104" s="121">
        <v>44089</v>
      </c>
      <c r="B104" s="113"/>
      <c r="C104" s="190"/>
      <c r="D104" s="92">
        <v>13.24</v>
      </c>
      <c r="E104" s="93">
        <v>2.6018518518518521E-2</v>
      </c>
      <c r="F104" s="98">
        <v>21.2</v>
      </c>
      <c r="G104" s="94">
        <v>140</v>
      </c>
      <c r="H104" s="97"/>
    </row>
    <row r="105" spans="1:8" x14ac:dyDescent="0.2">
      <c r="A105" s="121">
        <v>44090</v>
      </c>
      <c r="B105" s="113"/>
      <c r="C105" s="190"/>
      <c r="D105" s="92">
        <v>24.17</v>
      </c>
      <c r="E105" s="93">
        <v>4.9328703703703701E-2</v>
      </c>
      <c r="F105" s="98">
        <v>20.420000000000002</v>
      </c>
      <c r="G105" s="94">
        <v>225</v>
      </c>
      <c r="H105" s="97"/>
    </row>
    <row r="106" spans="1:8" ht="13.5" thickBot="1" x14ac:dyDescent="0.25">
      <c r="A106" s="206">
        <v>44091</v>
      </c>
      <c r="B106" s="207"/>
      <c r="C106" s="208"/>
      <c r="D106" s="209">
        <v>13.21</v>
      </c>
      <c r="E106" s="210">
        <v>2.7754629629629629E-2</v>
      </c>
      <c r="F106" s="211">
        <v>19.829999999999998</v>
      </c>
      <c r="G106" s="212">
        <v>144</v>
      </c>
      <c r="H106" s="97"/>
    </row>
    <row r="107" spans="1:8" x14ac:dyDescent="0.2">
      <c r="A107" s="137">
        <v>44093</v>
      </c>
      <c r="B107" s="191"/>
      <c r="C107" s="92"/>
      <c r="D107" s="92">
        <v>7.36</v>
      </c>
      <c r="E107" s="93">
        <v>1.5706018518518518E-2</v>
      </c>
      <c r="F107" s="98">
        <v>19.53</v>
      </c>
      <c r="G107" s="94">
        <v>137</v>
      </c>
      <c r="H107" s="97"/>
    </row>
    <row r="108" spans="1:8" ht="15" x14ac:dyDescent="0.2">
      <c r="A108" s="131">
        <v>44093</v>
      </c>
      <c r="B108" s="67" t="s">
        <v>263</v>
      </c>
      <c r="C108" s="118" t="s">
        <v>264</v>
      </c>
      <c r="D108" s="67">
        <v>20.95</v>
      </c>
      <c r="E108" s="68">
        <v>6.1435185185185183E-2</v>
      </c>
      <c r="F108" s="150">
        <v>14.21</v>
      </c>
      <c r="G108" s="69">
        <v>971</v>
      </c>
      <c r="H108" s="97"/>
    </row>
    <row r="109" spans="1:8" x14ac:dyDescent="0.2">
      <c r="A109" s="121">
        <v>44093</v>
      </c>
      <c r="B109" s="113"/>
      <c r="C109" s="190"/>
      <c r="D109" s="92">
        <v>20.53</v>
      </c>
      <c r="E109" s="93">
        <v>3.3321759259259259E-2</v>
      </c>
      <c r="F109" s="98">
        <v>25.68</v>
      </c>
      <c r="G109" s="94">
        <v>186</v>
      </c>
      <c r="H109" s="97"/>
    </row>
    <row r="110" spans="1:8" x14ac:dyDescent="0.2">
      <c r="A110" s="121">
        <v>44095</v>
      </c>
      <c r="B110" s="113"/>
      <c r="C110" s="190"/>
      <c r="D110" s="92">
        <v>13.25</v>
      </c>
      <c r="E110" s="93">
        <v>2.6030092592592594E-2</v>
      </c>
      <c r="F110" s="98">
        <v>21.22</v>
      </c>
      <c r="G110" s="94">
        <v>147</v>
      </c>
      <c r="H110" s="97"/>
    </row>
    <row r="111" spans="1:8" x14ac:dyDescent="0.2">
      <c r="A111" s="121">
        <v>44096</v>
      </c>
      <c r="B111" s="113"/>
      <c r="C111" s="190"/>
      <c r="D111" s="92">
        <v>19.579999999999998</v>
      </c>
      <c r="E111" s="93">
        <v>3.6377314814814814E-2</v>
      </c>
      <c r="F111" s="98">
        <v>22.43</v>
      </c>
      <c r="G111" s="94">
        <v>225</v>
      </c>
      <c r="H111" s="97"/>
    </row>
    <row r="112" spans="1:8" x14ac:dyDescent="0.2">
      <c r="A112" s="121">
        <v>44097</v>
      </c>
      <c r="B112" s="113"/>
      <c r="C112" s="190"/>
      <c r="D112" s="92">
        <v>20.61</v>
      </c>
      <c r="E112" s="93">
        <v>4.0069444444444442E-2</v>
      </c>
      <c r="F112" s="98">
        <v>21.43</v>
      </c>
      <c r="G112" s="94">
        <v>225</v>
      </c>
      <c r="H112" s="97"/>
    </row>
    <row r="113" spans="1:7" x14ac:dyDescent="0.2">
      <c r="A113" s="121">
        <v>44098</v>
      </c>
      <c r="B113" s="113"/>
      <c r="C113" s="190"/>
      <c r="D113" s="92">
        <v>55</v>
      </c>
      <c r="E113" s="93">
        <v>0.10769675925925926</v>
      </c>
      <c r="F113" s="98">
        <v>21.28</v>
      </c>
      <c r="G113" s="94">
        <v>305</v>
      </c>
    </row>
    <row r="114" spans="1:7" x14ac:dyDescent="0.2">
      <c r="A114" s="121">
        <v>44103</v>
      </c>
      <c r="B114" s="113"/>
      <c r="C114" s="190"/>
      <c r="D114" s="92">
        <v>12.28</v>
      </c>
      <c r="E114" s="93">
        <v>3.0393518518518518E-2</v>
      </c>
      <c r="F114" s="98">
        <v>16.84</v>
      </c>
      <c r="G114" s="94">
        <v>143</v>
      </c>
    </row>
    <row r="115" spans="1:7" x14ac:dyDescent="0.2">
      <c r="A115" s="121">
        <v>44104</v>
      </c>
      <c r="B115" s="113"/>
      <c r="C115" s="190"/>
      <c r="D115" s="92">
        <v>19.97</v>
      </c>
      <c r="E115" s="93">
        <v>3.6574074074074071E-2</v>
      </c>
      <c r="F115" s="98">
        <v>22.76</v>
      </c>
      <c r="G115" s="94">
        <v>220</v>
      </c>
    </row>
    <row r="116" spans="1:7" x14ac:dyDescent="0.2">
      <c r="A116" s="121">
        <v>44105</v>
      </c>
      <c r="B116" s="113"/>
      <c r="C116" s="190"/>
      <c r="D116" s="92">
        <v>25.6</v>
      </c>
      <c r="E116" s="93">
        <v>4.6747685185185184E-2</v>
      </c>
      <c r="F116" s="98">
        <v>22.81</v>
      </c>
      <c r="G116" s="94">
        <v>239</v>
      </c>
    </row>
    <row r="117" spans="1:7" x14ac:dyDescent="0.2">
      <c r="A117" s="121">
        <v>44109</v>
      </c>
      <c r="B117" s="113"/>
      <c r="C117" s="190"/>
      <c r="D117" s="92">
        <v>19.989999999999998</v>
      </c>
      <c r="E117" s="93">
        <v>3.8217592592592588E-2</v>
      </c>
      <c r="F117" s="98">
        <v>21.8</v>
      </c>
      <c r="G117" s="94">
        <v>225</v>
      </c>
    </row>
    <row r="118" spans="1:7" x14ac:dyDescent="0.2">
      <c r="A118" s="121">
        <v>44110</v>
      </c>
      <c r="B118" s="113"/>
      <c r="C118" s="190"/>
      <c r="D118" s="92">
        <v>16.97</v>
      </c>
      <c r="E118" s="93">
        <v>3.3229166666666664E-2</v>
      </c>
      <c r="F118" s="98">
        <v>21.29</v>
      </c>
      <c r="G118" s="94">
        <v>180</v>
      </c>
    </row>
    <row r="119" spans="1:7" x14ac:dyDescent="0.2">
      <c r="A119" s="121">
        <v>44111</v>
      </c>
      <c r="B119" s="113"/>
      <c r="C119" s="190"/>
      <c r="D119" s="92">
        <v>25.82</v>
      </c>
      <c r="E119" s="93">
        <v>4.809027777777778E-2</v>
      </c>
      <c r="F119" s="98">
        <v>22.37</v>
      </c>
      <c r="G119" s="94">
        <v>257</v>
      </c>
    </row>
    <row r="120" spans="1:7" x14ac:dyDescent="0.2">
      <c r="A120" s="121">
        <v>44112</v>
      </c>
      <c r="B120" s="113"/>
      <c r="C120" s="190"/>
      <c r="D120" s="92">
        <v>36.26</v>
      </c>
      <c r="E120" s="93">
        <v>7.4444444444444438E-2</v>
      </c>
      <c r="F120" s="98">
        <v>20.29</v>
      </c>
      <c r="G120" s="94">
        <v>442</v>
      </c>
    </row>
    <row r="121" spans="1:7" x14ac:dyDescent="0.2">
      <c r="A121" s="121">
        <v>44113</v>
      </c>
      <c r="B121" s="113"/>
      <c r="C121" s="190"/>
      <c r="D121" s="92">
        <v>50.31</v>
      </c>
      <c r="E121" s="93">
        <v>9.4143518518518529E-2</v>
      </c>
      <c r="F121" s="98">
        <v>22.27</v>
      </c>
      <c r="G121" s="94">
        <v>249</v>
      </c>
    </row>
    <row r="122" spans="1:7" x14ac:dyDescent="0.2">
      <c r="A122" s="121">
        <v>44116</v>
      </c>
      <c r="B122" s="113"/>
      <c r="C122" s="190"/>
      <c r="D122" s="92">
        <v>16.21</v>
      </c>
      <c r="E122" s="93">
        <v>3.3275462962962958E-2</v>
      </c>
      <c r="F122" s="98">
        <v>20.3</v>
      </c>
      <c r="G122" s="94">
        <v>208</v>
      </c>
    </row>
    <row r="123" spans="1:7" x14ac:dyDescent="0.2">
      <c r="A123" s="121">
        <v>44117</v>
      </c>
      <c r="B123" s="113"/>
      <c r="C123" s="190"/>
      <c r="D123" s="92">
        <v>17</v>
      </c>
      <c r="E123" s="93">
        <v>3.4270833333333334E-2</v>
      </c>
      <c r="F123" s="98">
        <v>20.67</v>
      </c>
      <c r="G123" s="94">
        <v>194</v>
      </c>
    </row>
    <row r="124" spans="1:7" x14ac:dyDescent="0.2">
      <c r="A124" s="121">
        <v>44140</v>
      </c>
      <c r="B124" s="113"/>
      <c r="C124" s="190"/>
      <c r="D124" s="92">
        <v>91.14</v>
      </c>
      <c r="E124" s="93">
        <v>0.21563657407407408</v>
      </c>
      <c r="F124" s="98">
        <v>17.611536999999998</v>
      </c>
      <c r="G124" s="94">
        <v>1537</v>
      </c>
    </row>
    <row r="125" spans="1:7" x14ac:dyDescent="0.2">
      <c r="A125" s="121">
        <v>44158</v>
      </c>
      <c r="B125" s="113"/>
      <c r="C125" s="190"/>
      <c r="D125" s="92">
        <v>12.69</v>
      </c>
      <c r="E125" s="93">
        <v>2.854166666666667E-2</v>
      </c>
      <c r="F125" s="98">
        <v>18.53</v>
      </c>
      <c r="G125" s="94">
        <v>148</v>
      </c>
    </row>
    <row r="126" spans="1:7" x14ac:dyDescent="0.2">
      <c r="A126" s="121">
        <v>44160</v>
      </c>
      <c r="B126" s="113"/>
      <c r="C126" s="190"/>
      <c r="D126" s="92">
        <v>19.88</v>
      </c>
      <c r="E126" s="93">
        <v>4.1018518518518517E-2</v>
      </c>
      <c r="F126" s="98">
        <v>20.2</v>
      </c>
      <c r="G126" s="94">
        <v>232</v>
      </c>
    </row>
    <row r="127" spans="1:7" x14ac:dyDescent="0.2">
      <c r="A127" s="121">
        <v>44165</v>
      </c>
      <c r="B127" s="113"/>
      <c r="C127" s="190"/>
      <c r="D127" s="92">
        <v>19.88</v>
      </c>
      <c r="E127" s="93">
        <v>4.2187499999999996E-2</v>
      </c>
      <c r="F127" s="98">
        <v>19.64</v>
      </c>
      <c r="G127" s="94">
        <v>245</v>
      </c>
    </row>
    <row r="128" spans="1:7" x14ac:dyDescent="0.2">
      <c r="A128" s="121">
        <v>44166</v>
      </c>
      <c r="B128" s="113"/>
      <c r="C128" s="190"/>
      <c r="D128" s="92">
        <v>19.93</v>
      </c>
      <c r="E128" s="93">
        <v>4.0868055555555553E-2</v>
      </c>
      <c r="F128" s="98">
        <v>20.309999999999999</v>
      </c>
      <c r="G128" s="94">
        <v>238</v>
      </c>
    </row>
    <row r="129" spans="1:9" x14ac:dyDescent="0.2">
      <c r="A129" s="121">
        <v>44172</v>
      </c>
      <c r="B129" s="113"/>
      <c r="C129" s="190"/>
      <c r="D129" s="92">
        <v>19.88</v>
      </c>
      <c r="E129" s="93">
        <v>4.1180555555555554E-2</v>
      </c>
      <c r="F129" s="98">
        <v>20.12</v>
      </c>
      <c r="G129" s="94">
        <v>228</v>
      </c>
    </row>
    <row r="130" spans="1:9" x14ac:dyDescent="0.2">
      <c r="A130" s="121">
        <v>44173</v>
      </c>
      <c r="B130" s="113"/>
      <c r="C130" s="190"/>
      <c r="D130" s="92">
        <v>19.809999999999999</v>
      </c>
      <c r="E130" s="93">
        <v>4.2199074074074076E-2</v>
      </c>
      <c r="F130" s="98">
        <v>19.559999999999999</v>
      </c>
      <c r="G130" s="94">
        <v>247</v>
      </c>
    </row>
    <row r="131" spans="1:9" x14ac:dyDescent="0.2">
      <c r="A131" s="121">
        <v>44181</v>
      </c>
      <c r="B131" s="113"/>
      <c r="C131" s="190"/>
      <c r="D131" s="92">
        <v>13.11</v>
      </c>
      <c r="E131" s="93">
        <v>3.0775462962962966E-2</v>
      </c>
      <c r="F131" s="98">
        <v>17.75</v>
      </c>
      <c r="G131" s="94">
        <v>131</v>
      </c>
    </row>
    <row r="132" spans="1:9" x14ac:dyDescent="0.2">
      <c r="A132" s="121"/>
      <c r="B132" s="113"/>
      <c r="C132" s="190"/>
      <c r="D132" s="92">
        <v>13.25</v>
      </c>
      <c r="E132" s="93">
        <v>3.0312499999999996E-2</v>
      </c>
      <c r="F132" s="98">
        <v>18.22</v>
      </c>
      <c r="G132" s="94">
        <v>154</v>
      </c>
    </row>
    <row r="133" spans="1:9" x14ac:dyDescent="0.2">
      <c r="A133" s="121"/>
      <c r="B133" s="113"/>
      <c r="C133" s="190"/>
      <c r="D133" s="92"/>
      <c r="E133" s="93"/>
      <c r="F133" s="98"/>
      <c r="G133" s="94"/>
    </row>
    <row r="134" spans="1:9" x14ac:dyDescent="0.2">
      <c r="A134" s="121"/>
      <c r="B134" s="113"/>
      <c r="C134" s="190"/>
      <c r="D134" s="92"/>
      <c r="E134" s="93"/>
      <c r="F134" s="98"/>
      <c r="G134" s="94"/>
    </row>
    <row r="135" spans="1:9" ht="14.25" x14ac:dyDescent="0.2">
      <c r="A135" s="187" t="s">
        <v>90</v>
      </c>
      <c r="D135">
        <f>SUM(D2:D134 )-K6</f>
        <v>2972.9</v>
      </c>
      <c r="E135" s="251">
        <f>SUM(E2:E134)-L6</f>
        <v>6.3516087962962935</v>
      </c>
      <c r="F135" s="33">
        <f>AVERAGEIF(H2:H134,"&lt;&gt;e",F2:F134)</f>
        <v>20.405138966386552</v>
      </c>
      <c r="G135" s="194">
        <f>SUM(G2:G134)-N6</f>
        <v>36162</v>
      </c>
      <c r="H135" t="s">
        <v>90</v>
      </c>
      <c r="I135">
        <f>SUM(I2:I114)</f>
        <v>1661</v>
      </c>
    </row>
    <row r="136" spans="1:9" ht="13.5" thickBot="1" x14ac:dyDescent="0.25">
      <c r="I136" s="33">
        <f>I135/D135</f>
        <v>0.55871371388206803</v>
      </c>
    </row>
    <row r="137" spans="1:9" x14ac:dyDescent="0.2">
      <c r="B137" s="259"/>
      <c r="C137" s="588" t="s">
        <v>247</v>
      </c>
      <c r="D137" s="589"/>
      <c r="E137" s="588" t="s">
        <v>248</v>
      </c>
      <c r="F137" s="589"/>
      <c r="G137" s="588" t="s">
        <v>249</v>
      </c>
      <c r="H137" s="589"/>
    </row>
    <row r="138" spans="1:9" ht="13.5" thickBot="1" x14ac:dyDescent="0.25">
      <c r="B138" s="269"/>
      <c r="C138" s="267" t="s">
        <v>203</v>
      </c>
      <c r="D138" s="268" t="s">
        <v>202</v>
      </c>
      <c r="E138" s="267" t="s">
        <v>203</v>
      </c>
      <c r="F138" s="268" t="s">
        <v>202</v>
      </c>
      <c r="G138" s="267" t="s">
        <v>203</v>
      </c>
      <c r="H138" s="268" t="s">
        <v>202</v>
      </c>
    </row>
    <row r="139" spans="1:9" x14ac:dyDescent="0.2">
      <c r="B139" s="270" t="s">
        <v>178</v>
      </c>
      <c r="C139" s="265">
        <f>SUMIFS($D$2:$D$114,$A$2:$A$114,"&lt;=31.1.2020")</f>
        <v>74.11</v>
      </c>
      <c r="D139" s="266">
        <f>COUNTIFS($A$2:$A$114,"&gt;=1.1.2020",$A$2:$A$114,"&lt;=31.1.2020")</f>
        <v>5</v>
      </c>
      <c r="E139" s="265">
        <f>SUMIFS($D$2:$D$114,$A$2:$A$114,"&lt;=31.1.2020")</f>
        <v>74.11</v>
      </c>
      <c r="F139" s="266">
        <f>COUNTIFS($A$2:$A$114,"&gt;=1.1.2020",$A$2:$A$114,"&lt;=31.1.2020",$H$2:$H$114,"")</f>
        <v>4</v>
      </c>
      <c r="G139" s="260">
        <f>SUMIFS($D$2:$D$114,$A$2:$A$114,"&lt;1.2.2020",H1:H113,"e")</f>
        <v>0</v>
      </c>
      <c r="H139" s="266">
        <f>COUNTIFS($A$2:$A$114,"&gt;=1.1.2020",$A$2:$A$114,"&lt;=31.1.2020",$H$2:$H$114,"e")</f>
        <v>0</v>
      </c>
    </row>
    <row r="140" spans="1:9" x14ac:dyDescent="0.2">
      <c r="B140" s="271" t="s">
        <v>179</v>
      </c>
      <c r="C140" s="260">
        <f>SUMIFS($D$2:$D$114,$A$2:$A$114,"&lt;29.2.2020")-SUMIFS($D$2:$D$54,$A$2:$A$54,"&lt;1.2.2020")</f>
        <v>72.779999999999987</v>
      </c>
      <c r="D140" s="261">
        <f>COUNTIFS($A$2:$A$114,"&gt;=1.2.2020",$A$2:$A$114,"&lt;=28.2.2020")</f>
        <v>4</v>
      </c>
      <c r="E140" s="260">
        <f>SUMIFS($D$2:$D$114,$A$2:$A$114,"&lt;1.3.2020",H2:H114,"")-SUMIFS($D$2:$D$114,$A$2:$A$114,"&lt;1.2.2020",H2:H114,"")</f>
        <v>72.78</v>
      </c>
      <c r="F140" s="261">
        <f>COUNTIFS($A$2:$A$114,"&gt;=1.2.2020",$A$2:$A$114,"&lt;=28.2.2020",$H$2:$H$114,"")</f>
        <v>4</v>
      </c>
      <c r="G140" s="260">
        <f>SUMIFS($D$2:$D$114,$A$2:$A$114,"&lt;1.3.2020",H2:H114,"e")-SUMIFS($D$2:$D$114,$A$2:$A$114,"&lt;1.2.2020",H2:H114,"e")</f>
        <v>0</v>
      </c>
      <c r="H140" s="261">
        <f>COUNTIFS($A$2:$A$114,"&gt;=1.2.2020",$A$2:$A$114,"&lt;=28.2.2020",$H$2:$H$114,"e")</f>
        <v>0</v>
      </c>
    </row>
    <row r="141" spans="1:9" x14ac:dyDescent="0.2">
      <c r="B141" s="271" t="s">
        <v>180</v>
      </c>
      <c r="C141" s="260">
        <f>SUMIFS($D$2:$D$114,$A$2:$A$114,"&lt;1.4.2020")-SUMIFS($D$2:$D$54,$A$2:$A$54,"&lt;1.3.2020")</f>
        <v>155.84999999999997</v>
      </c>
      <c r="D141" s="261">
        <f>COUNTIFS($A$2:$A$114,"&gt;=1.3.2020",$A$2:$A$114,"&lt;=31.3.2020")</f>
        <v>6</v>
      </c>
      <c r="E141" s="260">
        <f>SUMIFS($D$2:$D$114,$A$2:$A$114,"&lt;1.4.2020",H2:H114,"")-SUMIFS($D$2:$D$114,$A$2:$A$114,"&lt;1.3.2020",H2:H114,"")</f>
        <v>155.84999999999997</v>
      </c>
      <c r="F141" s="261">
        <f>COUNTIFS($A$2:$A$114,"&gt;=1.3.2020",$A$2:$A$114,"&lt;=31.3.2020",$H$2:$H$114,"")</f>
        <v>6</v>
      </c>
      <c r="G141" s="260">
        <f>SUMIFS($D$2:$D$114,$A$2:$A$114,"&lt;1.4.2020",H2:H114,"e")-SUMIFS($D$2:$D$114,$A$2:$A$114,"&lt;1.3.2020",H2:H114,"e")</f>
        <v>0</v>
      </c>
      <c r="H141" s="261">
        <f>COUNTIFS($A$2:$A$114,"&gt;=1.3.2020",$A$2:$A$114,"&lt;=31.3.2020",$H$2:$H$114,"e")</f>
        <v>0</v>
      </c>
    </row>
    <row r="142" spans="1:9" x14ac:dyDescent="0.2">
      <c r="B142" s="271" t="s">
        <v>181</v>
      </c>
      <c r="C142" s="260">
        <f>SUMIFS($D$2:$D$54,$A$2:$A$54,"&lt;1.5.2020")-SUMIFS($D$2:$D$54,$A$2:$A$54,"&lt;1.4.2020")</f>
        <v>388.46</v>
      </c>
      <c r="D142" s="261">
        <f>COUNTIFS($A$2:$A$114,"&gt;=1.4.2020",$A$2:$A$114,"&lt;=30.4.2020")</f>
        <v>11</v>
      </c>
      <c r="E142" s="260">
        <f>SUMIFS($D$2:$D$114,$A$2:$A$114,"&lt;1.5.2020",H2:H114,"")-SUMIFS($D$2:$D$114,$A$2:$A$114,"&lt;1.4.2020",H2:H114,"")</f>
        <v>343.7700000000001</v>
      </c>
      <c r="F142" s="261">
        <f>COUNTIFS($A$2:$A$114,"&gt;=1.4.2020",$A$2:$A$114,"&lt;=30.4.2020",$H$2:$H$114,"")</f>
        <v>10</v>
      </c>
      <c r="G142" s="260">
        <f>SUMIFS($D$2:$D$114,$A$2:$A$114,"&lt;1.5.2020",H2:H114,"e")-SUMIFS($D$2:$D$114,$A$2:$A$114,"&lt;1.4.2020",H2:H114,"e")</f>
        <v>44.69</v>
      </c>
      <c r="H142" s="261">
        <f>COUNTIFS($A$2:$A$114,"&gt;=1.4.2020",$A$2:$A$114,"&lt;=30.4.2020",$H$2:$H$114,"e")</f>
        <v>1</v>
      </c>
    </row>
    <row r="143" spans="1:9" x14ac:dyDescent="0.2">
      <c r="B143" s="271" t="s">
        <v>182</v>
      </c>
      <c r="C143" s="260">
        <f>SUMIFS($D$2:$D$54,$A$2:$A$54,"&lt;1.6.2020")-SUMIFS($D$2:$D$54,$A$2:$A$54,"&lt;1.5.2020")</f>
        <v>267.93000000000006</v>
      </c>
      <c r="D143" s="261">
        <f>COUNTIFS($A$2:$A$114,"&gt;=1.5.2020",$A$2:$A$114,"&lt;=31.5.2020")</f>
        <v>13</v>
      </c>
      <c r="E143" s="260">
        <f>SUMIFS($D$2:$D$114,$A$2:$A$114,"&lt;1.6.2020",H2:H114,"")-SUMIFS($D$2:$D$114,$A$2:$A$114,"&lt;1.5.2020",H2:H114,"")</f>
        <v>267.93000000000006</v>
      </c>
      <c r="F143" s="261">
        <f>COUNTIFS($A$2:$A$114,"&gt;=1.5.2020",$A$2:$A$114,"&lt;=31.5.2020",$H$2:$H$114,"")</f>
        <v>13</v>
      </c>
      <c r="G143" s="260">
        <f>SUMIFS($D$2:$D$114,$A$2:$A$114,"&lt;1.6.2020",H2:H114,"e")-SUMIFS($D$2:$D$114,$A$2:$A$114,"&lt;1.5.2020",H2:H114,"e")</f>
        <v>0</v>
      </c>
      <c r="H143" s="261">
        <f>COUNTIFS($A$2:$A$114,"&gt;=1.5.2020",$A$2:$A$114,"&lt;=31.5.2020",$H$2:$H$114,"e")</f>
        <v>0</v>
      </c>
    </row>
    <row r="144" spans="1:9" x14ac:dyDescent="0.2">
      <c r="B144" s="271" t="s">
        <v>183</v>
      </c>
      <c r="C144" s="260">
        <f>SUMIFS($D$2:$D$70,$A$2:$A$70,"&lt;1.7.2020")-SUMIFS($D$2:$D$70,$A$2:$A$70,"&lt;1.6.2020")</f>
        <v>503.96000000000015</v>
      </c>
      <c r="D144" s="261">
        <f>COUNTIFS($A$2:$A$114,"&gt;=1.6.2020",$A$2:$A$114,"&lt;=30.6.2020")</f>
        <v>15</v>
      </c>
      <c r="E144" s="260">
        <f>SUMIFS($D$2:$D$114,$A$2:$A$114,"&lt;1.7.2020",H2:H114,"")-SUMIFS($D$2:$D$114,$A$2:$A$114,"&lt;1.6.2020",H2:H114,"")</f>
        <v>493.12000000000023</v>
      </c>
      <c r="F144" s="261">
        <f>COUNTIFS($A$2:$A$114,"&gt;=1.6.2020",$A$2:$A$114,"&lt;=30.6.2020",$H$2:$H$114,"")</f>
        <v>14</v>
      </c>
      <c r="G144" s="260">
        <f>SUMIFS($D$2:$D$114,$A$2:$A$114,"&lt;1.7.2020",H2:H114,"e")-SUMIFS($D$2:$D$114,$A$2:$A$114,"&lt;1.6.2020",H2:H114,"e")</f>
        <v>10.840000000000003</v>
      </c>
      <c r="H144" s="261">
        <f>COUNTIFS($A$2:$A$114,"&gt;=1.6.2020",$A$2:$A$114,"&lt;=30.6.2020",$H$2:$H$114,"e")</f>
        <v>1</v>
      </c>
    </row>
    <row r="145" spans="2:8" x14ac:dyDescent="0.2">
      <c r="B145" s="271" t="s">
        <v>184</v>
      </c>
      <c r="C145" s="260">
        <f>SUMIFS($D$2:$D$82,$A$2:$A$82,"&lt;1.8.2020")-SUMIFS($D$2:$D$82,$A$2:$A$82,"&lt;1.7.2020")</f>
        <v>505.24</v>
      </c>
      <c r="D145" s="261">
        <f>COUNTIFS($A$2:$A$114,"&gt;=1.7.2020",$A$2:$A$114,"&lt;=31.7.2020")</f>
        <v>20</v>
      </c>
      <c r="E145" s="260">
        <f>SUMIFS($D$2:$D$114,$A$2:$A$114,"&lt;1.8.2020",$H$2:$H$114,"")-SUMIFS($D$2:$D$114,$A$2:$A$114,"&lt;1.7.2020",$H$2:$H$114,"")</f>
        <v>385.15000000000009</v>
      </c>
      <c r="F145" s="261">
        <f>COUNTIFS($A$2:$A$114,"&gt;=1.7.2020",$A$2:$A$114,"&lt;=31.7.2020",$H$2:$H$114,"")</f>
        <v>16</v>
      </c>
      <c r="G145" s="260">
        <f>SUMIFS($D$2:$D$114,$A$2:$A$114,"&lt;1.8.2020",$H$2:$H$114,"e")-SUMIFS($D$2:$D$114,$A$2:$A$114,"&lt;1.7.2020",$H$2:$H$114,"e")</f>
        <v>120.09</v>
      </c>
      <c r="H145" s="261">
        <f>COUNTIFS($A$2:$A$114,"&gt;=1.7.2020",$A$2:$A$114,"&lt;=31.7.2020",$H$2:$H$114,"e")</f>
        <v>4</v>
      </c>
    </row>
    <row r="146" spans="2:8" x14ac:dyDescent="0.2">
      <c r="B146" s="271" t="s">
        <v>185</v>
      </c>
      <c r="C146" s="260">
        <f>SUMIFS($D$2:$D$134,$A$2:$A$134,"&lt;1.9.2020")-SUMIFS($D$2:$D$134,$A$2:$A$134,"&lt;1.8.2020")</f>
        <v>421.83999999999901</v>
      </c>
      <c r="D146" s="261">
        <f>COUNTIFS($A$2:$A$134,"&gt;=1.8.2020",$A$2:$A$134,"&lt;=31.8.2020")</f>
        <v>16</v>
      </c>
      <c r="E146" s="260">
        <f>SUMIFS($D$2:$D$114,$A$2:$A$114,"&lt;1.9.2020",$H$2:$H$114,"")-SUMIFS($D$2:$D$114,$A$2:$A$114,"&lt;1.8.2020",$H$2:$H$114,"")</f>
        <v>297.34000000000037</v>
      </c>
      <c r="F146" s="261">
        <f>COUNTIFS($A$2:$A$114,"&gt;=1.8.2020",$A$2:$A$114,"&lt;=31.8.2020",$H$2:$H$114,"")</f>
        <v>11</v>
      </c>
      <c r="G146" s="260">
        <f>SUMIFS($D$2:$D$114,$A$2:$A$114,"&lt;1.9.2020",$H$2:$H$114,"e")-SUMIFS($D$2:$D$114,$A$2:$A$114,"&lt;1.8.2020",$H$2:$H$114,"e")</f>
        <v>124.5</v>
      </c>
      <c r="H146" s="261">
        <f>COUNTIFS($A$2:$A$114,"&gt;=1.8.2020",$A$2:$A$114,"&lt;=31.8.2020",$H$2:$H$114,"e")</f>
        <v>5</v>
      </c>
    </row>
    <row r="147" spans="2:8" x14ac:dyDescent="0.2">
      <c r="B147" s="271" t="s">
        <v>186</v>
      </c>
      <c r="C147" s="260">
        <f>SUMIFS($D$2:$D$134,$A$2:$A$134,"&lt;1.10.2020")-SUMIFS($D$2:$D$134,$A$2:$A$134,"&lt;1.9.2020")</f>
        <v>468.150000000001</v>
      </c>
      <c r="D147" s="261">
        <f>COUNTIFS($A$2:$A$134,"&gt;=1.9.2020",$A$2:$A$134,"&lt;=30.9.2020")</f>
        <v>24</v>
      </c>
      <c r="E147" s="260">
        <f>SUMIFS($D$2:$D$114,$A$2:$A$114,"&lt;1.10.2020",$H$2:$H$114,"")-SUMIFS($D$2:$D$114,$A$2:$A$114,"&lt;1.9.2020",$H$2:$H$114,"")</f>
        <v>425.150000000001</v>
      </c>
      <c r="F147" s="261">
        <f>COUNTIFS($A$2:$A$134,"&gt;=1.9.2020",$A$2:$A$134,"&lt;=30.9.2020",$H$2:$H$134,"")</f>
        <v>23</v>
      </c>
      <c r="G147" s="260">
        <f>SUMIFS($D$2:$D$134,$A$2:$A$134,"&lt;1.10.2020",$H$2:$H$134,"e")-SUMIFS($D$2:$D$134,$A$2:$A$134,"&lt;1.9.2020",$H$2:$H$134,"e")</f>
        <v>23.029999999999973</v>
      </c>
      <c r="H147" s="261">
        <f>COUNTIFS($A$2:$A$134,"&gt;=1.9.2020",$A$2:$A$134,"&lt;=30.9.2020",$H$2:$H$134,"e")</f>
        <v>1</v>
      </c>
    </row>
    <row r="148" spans="2:8" x14ac:dyDescent="0.2">
      <c r="B148" s="271" t="s">
        <v>187</v>
      </c>
      <c r="C148" s="260">
        <f>SUMIFS($D$2:$D$134,$A$2:$A$134,"&lt;31.10.2020")-SUMIFS($D$2:$D$134,$A$2:$A$134,"&lt;1.10.2020")</f>
        <v>208.15999999999985</v>
      </c>
      <c r="D148" s="261">
        <f>COUNTIFS($A$2:$A$134,"&gt;=1.10.2020",$A$2:$A$134,"&lt;=31.10.2020")</f>
        <v>8</v>
      </c>
      <c r="E148" s="260">
        <f>SUMIFS($D$2:$D$134,$A$2:$A$134,"&lt;1.11.2020",$H$2:$H$134,"")-SUMIFS($D$2:$D$134,$A$2:$A$134,"&lt;1.10.2020",$H$2:$H$134,"")</f>
        <v>208.15999999999985</v>
      </c>
      <c r="F148" s="261">
        <f>COUNTIFS($A$2:$A$134,"&gt;=1.10.2020",$A$2:$A$134,"&lt;=31.10.2020",$H$2:$H$134,"")</f>
        <v>8</v>
      </c>
      <c r="G148" s="260">
        <f>SUMIFS($D$2:$D$134,$A$2:$A$134,"&lt;1.11.2020",$H$2:$H$134,"e")-SUMIFS($D$2:$D$134,$A$2:$A$134,"&lt;1.10.2020",$H$2:$H$134,"e")</f>
        <v>0</v>
      </c>
      <c r="H148" s="261">
        <f>COUNTIFS($A$2:$A$134,"&gt;=1.10.2020",$A$2:$A$134,"&lt;=31.10.2020",$H$2:$H$134,"e")</f>
        <v>0</v>
      </c>
    </row>
    <row r="149" spans="2:8" x14ac:dyDescent="0.2">
      <c r="B149" s="271" t="s">
        <v>188</v>
      </c>
      <c r="C149" s="260">
        <f>SUMIFS($D$2:$D$134,$A$2:$A$134,"&lt;30.11.2020")-SUMIFS($D$2:$D$134,$A$2:$A$134,"&lt;1.11.2020")</f>
        <v>123.71000000000004</v>
      </c>
      <c r="D149" s="261">
        <f>COUNTIFS($A$2:$A$134,"&gt;=1.11.2020",$A$2:$A$134,"&lt;=30.11.2020")</f>
        <v>4</v>
      </c>
      <c r="E149" s="260">
        <f>SUMIFS($D$2:$D$134,$A$2:$A$134,"&lt;1.12.2020",$H$2:$H$134,"")-SUMIFS($D$2:$D$134,$A$2:$A$134,"&lt;1.11.2020",$H$2:$H$134,"")</f>
        <v>143.59000000000015</v>
      </c>
      <c r="F149" s="261">
        <f>COUNTIFS($A$2:$A$134,"&gt;=1.11.2020",$A$2:$A$134,"&lt;=30.11.2020",$H$2:$H$134,"")</f>
        <v>4</v>
      </c>
      <c r="G149" s="260">
        <f>SUMIFS($D$2:$D$134,$A$2:$A$134,"&lt;1.12.2020",$H$2:$H$134,"e")-SUMIFS($D$2:$D$134,$A$2:$A$134,"&lt;1.11.2020",$H$2:$H$134,"e")</f>
        <v>0</v>
      </c>
      <c r="H149" s="261">
        <f>COUNTIFS($A$2:$A$134,"&gt;=1.11.2020",$A$2:$A$134,"&lt;=30.11.2020",$H$2:$H$134,"e")</f>
        <v>0</v>
      </c>
    </row>
    <row r="150" spans="2:8" x14ac:dyDescent="0.2">
      <c r="B150" s="271" t="s">
        <v>189</v>
      </c>
      <c r="C150" s="260">
        <f>SUMIFS($D$2:$D$134,$A$2:$A$134,"&lt;31.12.2020")-SUMIFS($D$2:$D$134,$A$2:$A$134,"&lt;1.12.2020")</f>
        <v>72.730000000000018</v>
      </c>
      <c r="D150" s="261">
        <f>COUNTIFS($A$2:$A$134,"&gt;=1.12.2020",$A$2:$A$134,"&lt;=31.12.2020")</f>
        <v>4</v>
      </c>
      <c r="E150" s="260">
        <f>SUMIFS($D$2:$D$134,$A$2:$A$134,"&lt;31.12.2020",$H$2:$H$134,"")-SUMIFS($D$2:$D$134,$A$2:$A$134,"&lt;1.12.2020",$H$2:$H$134,"")</f>
        <v>72.730000000000018</v>
      </c>
      <c r="F150" s="261">
        <f>COUNTIFS($A$2:$A$134,"&gt;=1.12.2020",$A$2:$A$134,"&lt;=31.12.2020",$H$2:$H$134,"")</f>
        <v>4</v>
      </c>
      <c r="G150" s="260">
        <f>SUMIFS($D$2:$D$134,$A$2:$A$134,"&lt;31.12.2020",$H$2:$H$134,"e")-SUMIFS($D$2:$D$134,$A$2:$A$134,"&lt;1.12.2020",$H$2:$H$134,"e")</f>
        <v>0</v>
      </c>
      <c r="H150" s="261">
        <f>COUNTIFS($A$2:$A$134,"&gt;=1.12.2020",$A$2:$A$134,"&lt;=31.12.2020",$H$2:$H$134,"e")</f>
        <v>0</v>
      </c>
    </row>
    <row r="151" spans="2:8" ht="13.5" thickBot="1" x14ac:dyDescent="0.25">
      <c r="B151" s="272" t="s">
        <v>90</v>
      </c>
      <c r="C151" s="262">
        <f>SUM(C139:C150)</f>
        <v>3262.92</v>
      </c>
      <c r="D151" s="263">
        <f>SUM(D139:D150)</f>
        <v>130</v>
      </c>
      <c r="E151" s="262">
        <f t="shared" ref="E151:H151" si="0">SUM(E139:E150)</f>
        <v>2939.6800000000021</v>
      </c>
      <c r="F151" s="263">
        <f t="shared" si="0"/>
        <v>117</v>
      </c>
      <c r="G151" s="262">
        <f t="shared" si="0"/>
        <v>323.14999999999998</v>
      </c>
      <c r="H151" s="264">
        <f t="shared" si="0"/>
        <v>12</v>
      </c>
    </row>
    <row r="155" spans="2:8" x14ac:dyDescent="0.2">
      <c r="B155" s="136" t="s">
        <v>195</v>
      </c>
      <c r="C155" s="33">
        <f>AVERAGEIFS(F2:F134,G2:G134,"&lt;500",H2:H134,"&lt;&gt;e")</f>
        <v>20.882788461538446</v>
      </c>
    </row>
    <row r="156" spans="2:8" x14ac:dyDescent="0.2">
      <c r="B156" s="136" t="s">
        <v>196</v>
      </c>
      <c r="C156" s="33">
        <f>AVERAGEIFS(F2:F134,G2:G134,"&gt;500",G2:G134,"&lt;1000",H2:H134,"&lt;&gt;e")</f>
        <v>17.684999999999999</v>
      </c>
    </row>
    <row r="157" spans="2:8" x14ac:dyDescent="0.2">
      <c r="B157" s="136" t="s">
        <v>194</v>
      </c>
      <c r="C157" s="33">
        <f>AVERAGEIFS(F2:F134,G2:G134,"&gt;1000")</f>
        <v>14.727179</v>
      </c>
    </row>
    <row r="158" spans="2:8" ht="13.5" thickBot="1" x14ac:dyDescent="0.25">
      <c r="B158" s="136"/>
      <c r="C158" s="33"/>
    </row>
    <row r="159" spans="2:8" ht="15" thickBot="1" x14ac:dyDescent="0.25">
      <c r="B159" s="286" t="s">
        <v>278</v>
      </c>
      <c r="C159" s="287" t="s">
        <v>279</v>
      </c>
      <c r="D159" s="145"/>
    </row>
    <row r="160" spans="2:8" x14ac:dyDescent="0.2">
      <c r="B160" s="281" t="s">
        <v>277</v>
      </c>
      <c r="C160" s="282">
        <f>COUNTIFS($D$2:$D$134,"&lt;10")</f>
        <v>7</v>
      </c>
      <c r="D160" s="145"/>
    </row>
    <row r="161" spans="2:4" x14ac:dyDescent="0.2">
      <c r="B161" s="283" t="s">
        <v>274</v>
      </c>
      <c r="C161" s="280">
        <f>COUNTIFS($D$2:$D$134,"&gt;=10",$D$2:$D$134,"&lt;=20")</f>
        <v>53</v>
      </c>
      <c r="D161" s="145"/>
    </row>
    <row r="162" spans="2:4" x14ac:dyDescent="0.2">
      <c r="B162" s="283" t="s">
        <v>266</v>
      </c>
      <c r="C162" s="280">
        <f>COUNTIFS($D$2:$D$134,"&gt;=20",$D$2:$D$134,"&lt;=30")</f>
        <v>43</v>
      </c>
    </row>
    <row r="163" spans="2:4" x14ac:dyDescent="0.2">
      <c r="B163" s="283" t="s">
        <v>268</v>
      </c>
      <c r="C163" s="280">
        <f>COUNTIFS($D$2:$D$134,"&gt;=30",$D$2:$D$134,"&lt;=40")</f>
        <v>12</v>
      </c>
    </row>
    <row r="164" spans="2:4" x14ac:dyDescent="0.2">
      <c r="B164" s="283" t="s">
        <v>267</v>
      </c>
      <c r="C164" s="280">
        <f>COUNTIFS($D$2:$D$134,"&gt;=40",$D$2:$D$134,"&lt;=50")</f>
        <v>7</v>
      </c>
    </row>
    <row r="165" spans="2:4" x14ac:dyDescent="0.2">
      <c r="B165" s="283" t="s">
        <v>269</v>
      </c>
      <c r="C165" s="280">
        <f>COUNTIFS($D$2:$D$134,"&gt;=50",$D$2:$D$134,"&lt;=60")</f>
        <v>5</v>
      </c>
    </row>
    <row r="166" spans="2:4" x14ac:dyDescent="0.2">
      <c r="B166" s="283" t="s">
        <v>270</v>
      </c>
      <c r="C166" s="280">
        <f>COUNTIFS($D$2:$D$134,"&gt;=60",$D$2:$D$134,"&lt;=70")</f>
        <v>0</v>
      </c>
    </row>
    <row r="167" spans="2:4" x14ac:dyDescent="0.2">
      <c r="B167" s="283" t="s">
        <v>271</v>
      </c>
      <c r="C167" s="280">
        <f>COUNTIFS($D$2:$D$134,"&gt;=70",$D$2:$D$134,"&lt;=80")</f>
        <v>1</v>
      </c>
    </row>
    <row r="168" spans="2:4" x14ac:dyDescent="0.2">
      <c r="B168" s="283" t="s">
        <v>272</v>
      </c>
      <c r="C168" s="280">
        <f>COUNTIFS($D$2:$D$134,"&gt;=80",$D$2:$D$134,"&lt;=90")</f>
        <v>1</v>
      </c>
    </row>
    <row r="169" spans="2:4" x14ac:dyDescent="0.2">
      <c r="B169" s="283" t="s">
        <v>273</v>
      </c>
      <c r="C169" s="280">
        <f>COUNTIFS($D$2:$D$134,"&gt;=90",$D$2:$D$134,"&lt;=100")</f>
        <v>1</v>
      </c>
    </row>
    <row r="170" spans="2:4" x14ac:dyDescent="0.2">
      <c r="B170" s="283" t="s">
        <v>275</v>
      </c>
      <c r="C170" s="280">
        <f>COUNTIFS($D$2:$D$134,"&gt;=100",$D$2:$D$134,"&lt;=110")</f>
        <v>1</v>
      </c>
    </row>
    <row r="171" spans="2:4" ht="13.5" thickBot="1" x14ac:dyDescent="0.25">
      <c r="B171" s="284" t="s">
        <v>276</v>
      </c>
      <c r="C171" s="285">
        <f>COUNTIFS($D$2:$D$134,"&gt;=110",$D$2:$D$134,"&lt;=150")</f>
        <v>0</v>
      </c>
    </row>
    <row r="172" spans="2:4" x14ac:dyDescent="0.2">
      <c r="C172" s="31">
        <f>SUM(C160:C171)</f>
        <v>131</v>
      </c>
    </row>
  </sheetData>
  <mergeCells count="6">
    <mergeCell ref="B49:B51"/>
    <mergeCell ref="K4:N4"/>
    <mergeCell ref="C137:D137"/>
    <mergeCell ref="E137:F137"/>
    <mergeCell ref="G137:H137"/>
    <mergeCell ref="B76:B78"/>
  </mergeCells>
  <pageMargins left="0.7" right="0.7" top="0.78740157499999996" bottom="0.78740157499999996" header="0.3" footer="0.3"/>
  <pageSetup paperSize="9" orientation="portrait" r:id="rId1"/>
  <ignoredErrors>
    <ignoredError sqref="D139 F135" 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71"/>
  <sheetViews>
    <sheetView topLeftCell="A106" zoomScaleNormal="100" workbookViewId="0">
      <selection activeCell="E133" sqref="E133"/>
    </sheetView>
  </sheetViews>
  <sheetFormatPr defaultRowHeight="12.75" x14ac:dyDescent="0.2"/>
  <cols>
    <col min="1" max="1" width="10.140625" style="12" bestFit="1" customWidth="1"/>
    <col min="2" max="2" width="53.7109375" style="117" bestFit="1" customWidth="1"/>
    <col min="3" max="3" width="16.42578125" style="117" bestFit="1" customWidth="1"/>
    <col min="4" max="4" width="17.7109375" bestFit="1" customWidth="1"/>
    <col min="5" max="5" width="14.42578125" bestFit="1" customWidth="1"/>
    <col min="6" max="6" width="17.7109375" bestFit="1" customWidth="1"/>
    <col min="7" max="7" width="17.5703125" bestFit="1" customWidth="1"/>
    <col min="8" max="8" width="18.85546875" customWidth="1"/>
    <col min="9" max="9" width="16.5703125" bestFit="1" customWidth="1"/>
    <col min="10" max="10" width="11.42578125" bestFit="1" customWidth="1"/>
    <col min="11" max="11" width="12.5703125" customWidth="1"/>
    <col min="12" max="12" width="10.140625" customWidth="1"/>
    <col min="13" max="13" width="17.7109375" bestFit="1" customWidth="1"/>
    <col min="14" max="14" width="17.5703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43512</v>
      </c>
      <c r="B2" s="112"/>
      <c r="C2" s="188"/>
      <c r="D2" s="60">
        <v>11.9</v>
      </c>
      <c r="E2" s="61">
        <v>3.4027777777777775E-2</v>
      </c>
      <c r="F2" s="148">
        <v>14.6</v>
      </c>
      <c r="G2" s="62">
        <v>177</v>
      </c>
      <c r="I2" s="214">
        <v>665</v>
      </c>
      <c r="K2" s="250" t="s">
        <v>245</v>
      </c>
    </row>
    <row r="3" spans="1:15" ht="13.5" thickBot="1" x14ac:dyDescent="0.25">
      <c r="A3" s="130">
        <v>43514</v>
      </c>
      <c r="B3" s="112"/>
      <c r="C3" s="189"/>
      <c r="D3" s="51">
        <v>15.6</v>
      </c>
      <c r="E3" s="52">
        <v>3.5590277777777776E-2</v>
      </c>
      <c r="F3" s="149">
        <v>18.27</v>
      </c>
      <c r="G3" s="53">
        <v>177</v>
      </c>
      <c r="H3" t="s">
        <v>252</v>
      </c>
      <c r="I3" s="215">
        <v>925</v>
      </c>
    </row>
    <row r="4" spans="1:15" ht="13.5" thickBot="1" x14ac:dyDescent="0.25">
      <c r="A4" s="130">
        <v>43515</v>
      </c>
      <c r="B4" s="112"/>
      <c r="C4" s="189"/>
      <c r="D4" s="51">
        <v>13.84</v>
      </c>
      <c r="E4" s="52">
        <v>2.9872685185185183E-2</v>
      </c>
      <c r="F4" s="149">
        <v>19.309999999999999</v>
      </c>
      <c r="G4" s="53">
        <v>132</v>
      </c>
      <c r="I4" s="215"/>
      <c r="K4" s="602" t="s">
        <v>246</v>
      </c>
      <c r="L4" s="591"/>
      <c r="M4" s="591"/>
      <c r="N4" s="592"/>
    </row>
    <row r="5" spans="1:15" x14ac:dyDescent="0.2">
      <c r="A5" s="130">
        <v>43524</v>
      </c>
      <c r="B5" s="112"/>
      <c r="C5" s="189"/>
      <c r="D5" s="51">
        <v>20.7</v>
      </c>
      <c r="E5" s="52">
        <v>4.2094907407407407E-2</v>
      </c>
      <c r="F5" s="149">
        <v>20.49</v>
      </c>
      <c r="G5" s="53">
        <v>206</v>
      </c>
      <c r="H5" s="32"/>
      <c r="I5" s="215"/>
      <c r="K5" s="252" t="s">
        <v>143</v>
      </c>
      <c r="L5" s="253" t="s">
        <v>2</v>
      </c>
      <c r="M5" s="253" t="s">
        <v>3</v>
      </c>
      <c r="N5" s="254" t="s">
        <v>4</v>
      </c>
    </row>
    <row r="6" spans="1:15" ht="13.5" thickBot="1" x14ac:dyDescent="0.25">
      <c r="A6" s="130">
        <v>43528</v>
      </c>
      <c r="B6" s="112"/>
      <c r="C6" s="189"/>
      <c r="D6" s="51">
        <v>20.69</v>
      </c>
      <c r="E6" s="52">
        <v>4.2245370370370371E-2</v>
      </c>
      <c r="F6" s="149">
        <v>20.41</v>
      </c>
      <c r="G6" s="53">
        <v>218</v>
      </c>
      <c r="H6" s="133"/>
      <c r="I6" s="215"/>
      <c r="K6" s="255">
        <f>SUMIFS(D2:D132,H2:H132,"e")</f>
        <v>429.97999999999996</v>
      </c>
      <c r="L6" s="256">
        <f>SUMIFS(E2:E132,H2:$H$132,"e")</f>
        <v>1.1868981481481482</v>
      </c>
      <c r="M6" s="257">
        <f>AVERAGEIF(H2:H132,"e",F2:F132)</f>
        <v>14.754999999999999</v>
      </c>
      <c r="N6" s="258">
        <f>SUMIFS(G2:G132,$H2:H$132,"e")</f>
        <v>4316</v>
      </c>
    </row>
    <row r="7" spans="1:15" x14ac:dyDescent="0.2">
      <c r="A7" s="130">
        <v>43529</v>
      </c>
      <c r="B7" s="112"/>
      <c r="C7" s="189"/>
      <c r="D7" s="51">
        <v>19.47</v>
      </c>
      <c r="E7" s="52">
        <v>4.1631944444444451E-2</v>
      </c>
      <c r="F7" s="149">
        <v>19.489999999999998</v>
      </c>
      <c r="G7" s="53">
        <v>212</v>
      </c>
      <c r="H7" s="133"/>
      <c r="I7" s="215"/>
    </row>
    <row r="8" spans="1:15" x14ac:dyDescent="0.2">
      <c r="A8" s="130">
        <v>43530</v>
      </c>
      <c r="B8" s="112"/>
      <c r="C8" s="189"/>
      <c r="D8" s="51">
        <v>20.67</v>
      </c>
      <c r="E8" s="52">
        <v>4.1608796296296297E-2</v>
      </c>
      <c r="F8" s="149">
        <v>20.7</v>
      </c>
      <c r="G8" s="53">
        <v>213</v>
      </c>
      <c r="I8" s="216"/>
    </row>
    <row r="9" spans="1:15" x14ac:dyDescent="0.2">
      <c r="A9" s="130">
        <v>43531</v>
      </c>
      <c r="B9" s="112"/>
      <c r="C9" s="189"/>
      <c r="D9" s="51">
        <v>22.8</v>
      </c>
      <c r="E9" s="52">
        <v>4.5439814814814815E-2</v>
      </c>
      <c r="F9" s="149">
        <v>20.91</v>
      </c>
      <c r="G9" s="53">
        <v>210</v>
      </c>
      <c r="I9" s="216"/>
    </row>
    <row r="10" spans="1:15" x14ac:dyDescent="0.2">
      <c r="A10" s="130">
        <v>43536</v>
      </c>
      <c r="B10" s="112"/>
      <c r="C10" s="189"/>
      <c r="D10" s="51">
        <v>20.65</v>
      </c>
      <c r="E10" s="52">
        <v>4.5370370370370366E-2</v>
      </c>
      <c r="F10" s="149">
        <v>19.97</v>
      </c>
      <c r="G10" s="53">
        <v>220</v>
      </c>
      <c r="I10" s="216"/>
      <c r="L10" s="186"/>
      <c r="M10" s="13"/>
      <c r="N10" s="186"/>
      <c r="O10" s="186"/>
    </row>
    <row r="11" spans="1:15" x14ac:dyDescent="0.2">
      <c r="A11" s="130">
        <v>43544</v>
      </c>
      <c r="B11" s="112"/>
      <c r="C11" s="189"/>
      <c r="D11" s="51">
        <v>15.83</v>
      </c>
      <c r="E11" s="52">
        <v>3.7824074074074072E-2</v>
      </c>
      <c r="F11" s="149">
        <v>17.440000000000001</v>
      </c>
      <c r="G11" s="53">
        <v>189</v>
      </c>
      <c r="I11" s="216"/>
      <c r="L11" s="194"/>
    </row>
    <row r="12" spans="1:15" x14ac:dyDescent="0.2">
      <c r="A12" s="130">
        <v>43545</v>
      </c>
      <c r="B12" s="112"/>
      <c r="C12" s="189"/>
      <c r="D12" s="51">
        <v>21.18</v>
      </c>
      <c r="E12" s="52">
        <v>4.3773148148148144E-2</v>
      </c>
      <c r="F12" s="149">
        <v>20.16</v>
      </c>
      <c r="G12" s="53">
        <v>219</v>
      </c>
      <c r="I12" s="216"/>
    </row>
    <row r="13" spans="1:15" ht="13.5" thickBot="1" x14ac:dyDescent="0.25">
      <c r="A13" s="206">
        <v>43546</v>
      </c>
      <c r="B13" s="207"/>
      <c r="C13" s="208"/>
      <c r="D13" s="209">
        <v>18.309999999999999</v>
      </c>
      <c r="E13" s="210">
        <v>3.7199074074074072E-2</v>
      </c>
      <c r="F13" s="211">
        <v>20.51</v>
      </c>
      <c r="G13" s="212">
        <v>111</v>
      </c>
      <c r="I13" s="216"/>
      <c r="N13" s="36"/>
      <c r="O13" s="36"/>
    </row>
    <row r="14" spans="1:15" x14ac:dyDescent="0.2">
      <c r="A14" s="137">
        <v>43559</v>
      </c>
      <c r="B14" s="191"/>
      <c r="C14" s="92"/>
      <c r="D14" s="92">
        <v>20.2</v>
      </c>
      <c r="E14" s="93">
        <v>4.0682870370370376E-2</v>
      </c>
      <c r="F14" s="98">
        <v>21.25</v>
      </c>
      <c r="G14" s="94">
        <v>202</v>
      </c>
      <c r="I14" s="216"/>
      <c r="N14" s="184"/>
      <c r="O14" s="36"/>
    </row>
    <row r="15" spans="1:15" x14ac:dyDescent="0.2">
      <c r="A15" s="137">
        <v>43560</v>
      </c>
      <c r="B15" s="112"/>
      <c r="C15" s="189"/>
      <c r="D15" s="51">
        <v>24.59</v>
      </c>
      <c r="E15" s="52">
        <v>4.9305555555555554E-2</v>
      </c>
      <c r="F15" s="149">
        <v>20.78</v>
      </c>
      <c r="G15" s="53">
        <v>229</v>
      </c>
      <c r="I15" s="216"/>
      <c r="L15" s="186"/>
      <c r="N15" s="184"/>
      <c r="O15" s="36"/>
    </row>
    <row r="16" spans="1:15" x14ac:dyDescent="0.2">
      <c r="A16" s="130">
        <v>43563</v>
      </c>
      <c r="B16" s="112"/>
      <c r="C16" s="189"/>
      <c r="D16" s="51">
        <v>17.899999999999999</v>
      </c>
      <c r="E16" s="52">
        <v>3.6932870370370366E-2</v>
      </c>
      <c r="F16" s="149">
        <v>20.2</v>
      </c>
      <c r="G16" s="53">
        <v>157</v>
      </c>
      <c r="I16" s="216"/>
      <c r="N16" s="184"/>
      <c r="O16" s="36"/>
    </row>
    <row r="17" spans="1:17" x14ac:dyDescent="0.2">
      <c r="A17" s="130">
        <v>43564</v>
      </c>
      <c r="B17" s="112"/>
      <c r="C17" s="189"/>
      <c r="D17" s="51">
        <v>20.87</v>
      </c>
      <c r="E17" s="52">
        <v>3.982638888888889E-2</v>
      </c>
      <c r="F17" s="149">
        <v>21.79</v>
      </c>
      <c r="G17" s="53">
        <v>208</v>
      </c>
      <c r="H17" s="16"/>
      <c r="I17" s="216"/>
      <c r="N17" s="184"/>
      <c r="O17" s="36"/>
    </row>
    <row r="18" spans="1:17" x14ac:dyDescent="0.2">
      <c r="A18" s="130">
        <v>43567</v>
      </c>
      <c r="B18" s="112"/>
      <c r="C18" s="189"/>
      <c r="D18" s="51">
        <v>20.74</v>
      </c>
      <c r="E18" s="52">
        <v>4.2453703703703709E-2</v>
      </c>
      <c r="F18" s="149">
        <v>20.36</v>
      </c>
      <c r="G18" s="53">
        <v>216</v>
      </c>
      <c r="I18" s="216"/>
      <c r="N18" s="185"/>
      <c r="O18" s="36"/>
    </row>
    <row r="19" spans="1:17" x14ac:dyDescent="0.2">
      <c r="A19" s="130">
        <v>43585</v>
      </c>
      <c r="B19" s="112"/>
      <c r="C19" s="189"/>
      <c r="D19" s="51">
        <v>13.31</v>
      </c>
      <c r="E19" s="52">
        <v>3.1342592592592596E-2</v>
      </c>
      <c r="F19" s="149">
        <v>17.690000000000001</v>
      </c>
      <c r="G19" s="53">
        <v>130</v>
      </c>
      <c r="I19" s="216"/>
      <c r="J19" s="33"/>
      <c r="N19" s="36"/>
      <c r="O19" s="36"/>
    </row>
    <row r="20" spans="1:17" x14ac:dyDescent="0.2">
      <c r="A20" s="130">
        <v>43587</v>
      </c>
      <c r="B20" s="112"/>
      <c r="C20" s="189"/>
      <c r="D20" s="51">
        <v>21.88</v>
      </c>
      <c r="E20" s="52">
        <v>5.1666666666666666E-2</v>
      </c>
      <c r="F20" s="149">
        <v>17.649999999999999</v>
      </c>
      <c r="G20" s="53">
        <v>202</v>
      </c>
      <c r="I20" s="216"/>
      <c r="N20" s="36"/>
      <c r="O20" s="36"/>
    </row>
    <row r="21" spans="1:17" ht="15" x14ac:dyDescent="0.2">
      <c r="A21" s="121">
        <v>43605</v>
      </c>
      <c r="B21" s="113"/>
      <c r="C21" s="190"/>
      <c r="D21" s="92">
        <v>14.24</v>
      </c>
      <c r="E21" s="93">
        <v>3.2326388888888884E-2</v>
      </c>
      <c r="F21" s="98">
        <v>18.350000000000001</v>
      </c>
      <c r="G21" s="94">
        <v>132</v>
      </c>
      <c r="H21" s="273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43606</v>
      </c>
      <c r="B22" s="113"/>
      <c r="C22" s="190"/>
      <c r="D22" s="92">
        <v>21.07</v>
      </c>
      <c r="E22" s="93">
        <v>4.0960648148148149E-2</v>
      </c>
      <c r="F22" s="98">
        <v>21.44</v>
      </c>
      <c r="G22" s="94">
        <v>203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43610</v>
      </c>
      <c r="B23" s="113"/>
      <c r="C23" s="190"/>
      <c r="D23" s="92">
        <v>7.4</v>
      </c>
      <c r="E23" s="93">
        <v>2.7164351851851853E-2</v>
      </c>
      <c r="F23" s="98">
        <v>11.36</v>
      </c>
      <c r="G23" s="94">
        <v>133</v>
      </c>
      <c r="H23" s="97" t="s">
        <v>244</v>
      </c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43611</v>
      </c>
      <c r="B24" s="113"/>
      <c r="C24" s="190"/>
      <c r="D24" s="92">
        <v>36.14</v>
      </c>
      <c r="E24" s="93">
        <v>7.0092592592592595E-2</v>
      </c>
      <c r="F24" s="98">
        <v>21.48</v>
      </c>
      <c r="G24" s="94">
        <v>426</v>
      </c>
      <c r="H24" s="97"/>
      <c r="I24" s="218"/>
      <c r="K24" s="97"/>
      <c r="M24" s="97"/>
      <c r="O24" s="97"/>
      <c r="Q24" s="97"/>
    </row>
    <row r="25" spans="1:17" x14ac:dyDescent="0.2">
      <c r="A25" s="121">
        <v>43611</v>
      </c>
      <c r="B25" s="113"/>
      <c r="C25" s="190"/>
      <c r="D25" s="92">
        <v>7.92</v>
      </c>
      <c r="E25" s="93">
        <v>2.3773148148148151E-2</v>
      </c>
      <c r="F25" s="98">
        <v>13.88</v>
      </c>
      <c r="G25" s="94">
        <v>164</v>
      </c>
      <c r="H25" t="s">
        <v>244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43612</v>
      </c>
      <c r="B26" s="113"/>
      <c r="C26" s="190"/>
      <c r="D26" s="92">
        <v>25.23</v>
      </c>
      <c r="E26" s="93">
        <v>5.2743055555555557E-2</v>
      </c>
      <c r="F26" s="98">
        <v>19.93</v>
      </c>
      <c r="G26" s="94">
        <v>332</v>
      </c>
      <c r="H26" s="119"/>
      <c r="I26" s="218"/>
      <c r="J26" s="97"/>
      <c r="K26" s="97"/>
      <c r="L26" s="97"/>
      <c r="M26" s="249"/>
      <c r="N26" s="97"/>
      <c r="O26" s="97"/>
      <c r="P26" s="97"/>
      <c r="Q26" s="97"/>
    </row>
    <row r="27" spans="1:17" x14ac:dyDescent="0.2">
      <c r="A27" s="120">
        <v>43617</v>
      </c>
      <c r="B27" s="113"/>
      <c r="C27" s="190"/>
      <c r="D27" s="92">
        <v>15.06</v>
      </c>
      <c r="E27" s="93">
        <v>4.7546296296296302E-2</v>
      </c>
      <c r="F27" s="98">
        <v>13.2</v>
      </c>
      <c r="G27" s="94">
        <v>117</v>
      </c>
      <c r="H27" t="s">
        <v>244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43617</v>
      </c>
      <c r="B28" s="113"/>
      <c r="C28" s="190"/>
      <c r="D28" s="92">
        <v>42.97</v>
      </c>
      <c r="E28" s="93">
        <v>8.0775462962962966E-2</v>
      </c>
      <c r="F28" s="98">
        <v>22.6</v>
      </c>
      <c r="G28" s="94">
        <v>466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43618</v>
      </c>
      <c r="B29" s="113"/>
      <c r="C29" s="190"/>
      <c r="D29" s="92">
        <v>37.93</v>
      </c>
      <c r="E29" s="93">
        <v>8.3252314814814821E-2</v>
      </c>
      <c r="F29" s="98">
        <v>18.98</v>
      </c>
      <c r="G29" s="94">
        <v>741</v>
      </c>
      <c r="H29" s="88"/>
      <c r="I29" s="219"/>
      <c r="K29" s="97"/>
      <c r="M29" s="97"/>
      <c r="O29" s="97"/>
      <c r="Q29" s="97"/>
    </row>
    <row r="30" spans="1:17" x14ac:dyDescent="0.2">
      <c r="A30" s="120">
        <v>43619</v>
      </c>
      <c r="B30" s="114"/>
      <c r="C30" s="190"/>
      <c r="D30" s="92">
        <v>20.89</v>
      </c>
      <c r="E30" s="93">
        <v>4.3715277777777777E-2</v>
      </c>
      <c r="F30" s="98">
        <v>19.91</v>
      </c>
      <c r="G30" s="94">
        <v>199</v>
      </c>
      <c r="H30" s="97"/>
      <c r="I30" s="97"/>
      <c r="K30" s="97"/>
      <c r="M30" s="97"/>
      <c r="O30" s="97"/>
      <c r="Q30" s="97"/>
    </row>
    <row r="31" spans="1:17" x14ac:dyDescent="0.2">
      <c r="A31" s="120">
        <v>43619</v>
      </c>
      <c r="B31" s="114"/>
      <c r="C31" s="190"/>
      <c r="D31" s="92">
        <v>6.93</v>
      </c>
      <c r="E31" s="93">
        <v>2.0277777777777777E-2</v>
      </c>
      <c r="F31" s="98">
        <v>14.25</v>
      </c>
      <c r="G31" s="94">
        <v>129</v>
      </c>
      <c r="H31" s="119" t="s">
        <v>244</v>
      </c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43620</v>
      </c>
      <c r="B32" s="114"/>
      <c r="C32" s="190"/>
      <c r="D32" s="92">
        <v>20.95</v>
      </c>
      <c r="E32" s="93">
        <v>4.0752314814814811E-2</v>
      </c>
      <c r="F32" s="98">
        <v>21.42</v>
      </c>
      <c r="G32" s="94">
        <v>201</v>
      </c>
      <c r="M32" s="36"/>
      <c r="N32" s="36"/>
      <c r="O32" s="184"/>
      <c r="P32" s="90"/>
      <c r="Q32" s="36"/>
    </row>
    <row r="33" spans="1:17" x14ac:dyDescent="0.2">
      <c r="A33" s="120">
        <v>43621</v>
      </c>
      <c r="B33" s="114"/>
      <c r="C33" s="190"/>
      <c r="D33" s="92">
        <v>60.04</v>
      </c>
      <c r="E33" s="93">
        <v>0.12274305555555555</v>
      </c>
      <c r="F33" s="98">
        <v>20.38</v>
      </c>
      <c r="G33" s="94">
        <v>566</v>
      </c>
      <c r="H33" s="88"/>
      <c r="M33" s="36"/>
      <c r="N33" s="36"/>
      <c r="O33" s="185"/>
      <c r="P33" s="36"/>
      <c r="Q33" s="36"/>
    </row>
    <row r="34" spans="1:17" x14ac:dyDescent="0.2">
      <c r="A34" s="121">
        <v>43622</v>
      </c>
      <c r="B34" s="113"/>
      <c r="C34" s="190"/>
      <c r="D34" s="92">
        <v>13.77</v>
      </c>
      <c r="E34" s="93">
        <v>2.3668981481481485E-2</v>
      </c>
      <c r="F34" s="98">
        <v>24.24</v>
      </c>
      <c r="G34" s="94">
        <v>84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1">
        <v>43623</v>
      </c>
      <c r="B35" s="113"/>
      <c r="C35" s="190"/>
      <c r="D35" s="92">
        <v>7.8</v>
      </c>
      <c r="E35" s="93">
        <v>1.9189814814814816E-2</v>
      </c>
      <c r="F35" s="98">
        <v>16.940000000000001</v>
      </c>
      <c r="G35" s="94">
        <v>117</v>
      </c>
      <c r="I35" s="97"/>
      <c r="J35" s="97"/>
      <c r="L35" s="184"/>
      <c r="M35" s="36"/>
      <c r="N35" s="36"/>
      <c r="O35" s="36"/>
      <c r="P35" s="36"/>
      <c r="Q35" s="36"/>
    </row>
    <row r="36" spans="1:17" ht="15" x14ac:dyDescent="0.2">
      <c r="A36" s="131">
        <v>43624</v>
      </c>
      <c r="B36" s="67" t="s">
        <v>251</v>
      </c>
      <c r="C36" s="118">
        <v>20</v>
      </c>
      <c r="D36" s="67">
        <v>75.599999999999994</v>
      </c>
      <c r="E36" s="68">
        <v>0.20023148148148148</v>
      </c>
      <c r="F36" s="150">
        <v>15.73</v>
      </c>
      <c r="G36" s="69">
        <v>1363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1">
        <v>43625</v>
      </c>
      <c r="B37" s="113"/>
      <c r="C37" s="190"/>
      <c r="D37" s="92">
        <v>18.53</v>
      </c>
      <c r="E37" s="93">
        <v>7.2268518518518524E-2</v>
      </c>
      <c r="F37" s="98">
        <v>10.68</v>
      </c>
      <c r="G37" s="94">
        <v>385</v>
      </c>
      <c r="H37" s="97" t="s">
        <v>244</v>
      </c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43627</v>
      </c>
      <c r="B38" s="113"/>
      <c r="C38" s="190"/>
      <c r="D38" s="92">
        <v>17.7</v>
      </c>
      <c r="E38" s="93">
        <v>3.7523148148148146E-2</v>
      </c>
      <c r="F38" s="98">
        <v>19.649999999999999</v>
      </c>
      <c r="G38" s="94">
        <v>150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43628</v>
      </c>
      <c r="B39" s="113"/>
      <c r="C39" s="190"/>
      <c r="D39" s="92">
        <v>41.45</v>
      </c>
      <c r="E39" s="93">
        <v>8.3194444444444446E-2</v>
      </c>
      <c r="F39" s="98">
        <v>20.76</v>
      </c>
      <c r="G39" s="94">
        <v>227</v>
      </c>
      <c r="H39" s="97"/>
      <c r="I39" s="97"/>
      <c r="J39" s="97"/>
    </row>
    <row r="40" spans="1:17" x14ac:dyDescent="0.2">
      <c r="A40" s="121">
        <v>43629</v>
      </c>
      <c r="B40" s="113"/>
      <c r="C40" s="190"/>
      <c r="D40" s="92">
        <v>18.39</v>
      </c>
      <c r="E40" s="93">
        <v>3.8657407407407404E-2</v>
      </c>
      <c r="F40" s="98">
        <v>19.829999999999998</v>
      </c>
      <c r="G40" s="94">
        <v>155</v>
      </c>
      <c r="H40" s="97"/>
      <c r="I40" s="97"/>
      <c r="J40" s="97"/>
    </row>
    <row r="41" spans="1:17" x14ac:dyDescent="0.2">
      <c r="A41" s="121">
        <v>43629</v>
      </c>
      <c r="B41" s="113"/>
      <c r="C41" s="190"/>
      <c r="D41" s="92">
        <v>7.58</v>
      </c>
      <c r="E41" s="93">
        <v>2.0960648148148148E-2</v>
      </c>
      <c r="F41" s="98">
        <v>15.07</v>
      </c>
      <c r="G41" s="94">
        <v>142</v>
      </c>
      <c r="H41" s="97" t="s">
        <v>244</v>
      </c>
      <c r="I41" s="97"/>
      <c r="J41" s="97"/>
    </row>
    <row r="42" spans="1:17" x14ac:dyDescent="0.2">
      <c r="A42" s="121">
        <v>43634</v>
      </c>
      <c r="B42" s="113"/>
      <c r="C42" s="190"/>
      <c r="D42" s="92">
        <v>17.72</v>
      </c>
      <c r="E42" s="93">
        <v>3.7083333333333336E-2</v>
      </c>
      <c r="F42" s="98">
        <v>19.91</v>
      </c>
      <c r="G42" s="94">
        <v>152</v>
      </c>
      <c r="H42" s="97"/>
      <c r="I42" s="97"/>
      <c r="J42" s="97"/>
    </row>
    <row r="43" spans="1:17" x14ac:dyDescent="0.2">
      <c r="A43" s="121">
        <v>43634</v>
      </c>
      <c r="B43" s="113"/>
      <c r="C43" s="190"/>
      <c r="D43" s="92">
        <v>7.07</v>
      </c>
      <c r="E43" s="93">
        <v>2.3796296296296298E-2</v>
      </c>
      <c r="F43" s="98">
        <v>12.39</v>
      </c>
      <c r="G43" s="94">
        <v>134</v>
      </c>
      <c r="H43" s="97" t="s">
        <v>244</v>
      </c>
      <c r="I43" s="97"/>
      <c r="J43" s="97"/>
    </row>
    <row r="44" spans="1:17" ht="15" x14ac:dyDescent="0.25">
      <c r="A44" s="121">
        <v>43635</v>
      </c>
      <c r="B44" s="113"/>
      <c r="C44" s="190"/>
      <c r="D44" s="92">
        <v>13.86</v>
      </c>
      <c r="E44" s="93">
        <v>2.4131944444444445E-2</v>
      </c>
      <c r="F44" s="98">
        <v>23.93</v>
      </c>
      <c r="G44" s="94">
        <v>87</v>
      </c>
      <c r="H44" s="95"/>
      <c r="I44" s="96"/>
      <c r="J44" s="97"/>
    </row>
    <row r="45" spans="1:17" x14ac:dyDescent="0.2">
      <c r="A45" s="121">
        <v>43640</v>
      </c>
      <c r="B45" s="113"/>
      <c r="C45" s="190"/>
      <c r="D45" s="92">
        <v>19.7</v>
      </c>
      <c r="E45" s="93">
        <v>3.9016203703703699E-2</v>
      </c>
      <c r="F45" s="98">
        <v>21.05</v>
      </c>
      <c r="G45" s="94">
        <v>273</v>
      </c>
      <c r="H45" s="97" t="s">
        <v>250</v>
      </c>
      <c r="I45" s="97"/>
      <c r="J45" s="97"/>
    </row>
    <row r="46" spans="1:17" x14ac:dyDescent="0.2">
      <c r="A46" s="121">
        <v>43641</v>
      </c>
      <c r="B46" s="113"/>
      <c r="C46" s="190"/>
      <c r="D46" s="92">
        <v>19.399999999999999</v>
      </c>
      <c r="E46" s="93">
        <v>3.861111111111111E-2</v>
      </c>
      <c r="F46" s="98">
        <v>20.9</v>
      </c>
      <c r="G46" s="94">
        <v>271</v>
      </c>
      <c r="H46" s="97" t="s">
        <v>250</v>
      </c>
      <c r="I46" s="97"/>
      <c r="J46" s="97"/>
      <c r="N46" s="13"/>
    </row>
    <row r="47" spans="1:17" ht="15" x14ac:dyDescent="0.25">
      <c r="A47" s="121">
        <v>43642</v>
      </c>
      <c r="B47" s="113"/>
      <c r="C47" s="190"/>
      <c r="D47" s="92">
        <v>22.16</v>
      </c>
      <c r="E47" s="93">
        <v>4.4374999999999998E-2</v>
      </c>
      <c r="F47" s="98">
        <v>20.8</v>
      </c>
      <c r="G47" s="94">
        <v>231</v>
      </c>
      <c r="H47" s="95"/>
      <c r="I47" s="96"/>
      <c r="J47" s="97"/>
    </row>
    <row r="48" spans="1:17" x14ac:dyDescent="0.2">
      <c r="A48" s="121">
        <v>43646</v>
      </c>
      <c r="B48" s="113"/>
      <c r="C48" s="190"/>
      <c r="D48" s="92">
        <v>7.07</v>
      </c>
      <c r="E48" s="93">
        <v>2.3796296296296298E-2</v>
      </c>
      <c r="F48" s="98">
        <v>12.39</v>
      </c>
      <c r="G48" s="94">
        <v>134</v>
      </c>
      <c r="H48" s="97" t="s">
        <v>244</v>
      </c>
      <c r="I48" s="97"/>
      <c r="J48" s="97"/>
    </row>
    <row r="49" spans="1:10" x14ac:dyDescent="0.2">
      <c r="A49" s="121">
        <v>43646</v>
      </c>
      <c r="B49" s="113"/>
      <c r="C49" s="190"/>
      <c r="D49" s="92">
        <v>20.74</v>
      </c>
      <c r="E49" s="93">
        <v>4.2418981481481481E-2</v>
      </c>
      <c r="F49" s="98">
        <v>20.399999999999999</v>
      </c>
      <c r="G49" s="94">
        <v>148</v>
      </c>
      <c r="H49" s="97"/>
      <c r="I49" s="97"/>
      <c r="J49" s="97"/>
    </row>
    <row r="50" spans="1:10" x14ac:dyDescent="0.2">
      <c r="A50" s="121">
        <v>43647</v>
      </c>
      <c r="B50" s="113"/>
      <c r="C50" s="190"/>
      <c r="D50" s="92">
        <v>10.94</v>
      </c>
      <c r="E50" s="93">
        <v>2.6956018518518522E-2</v>
      </c>
      <c r="F50" s="98">
        <v>16.91</v>
      </c>
      <c r="G50" s="94">
        <v>90</v>
      </c>
      <c r="H50" s="97" t="s">
        <v>244</v>
      </c>
      <c r="I50" s="100"/>
      <c r="J50" s="97"/>
    </row>
    <row r="51" spans="1:10" x14ac:dyDescent="0.2">
      <c r="A51" s="121">
        <v>43648</v>
      </c>
      <c r="B51" s="113"/>
      <c r="C51" s="190"/>
      <c r="D51" s="92">
        <v>14.04</v>
      </c>
      <c r="E51" s="93">
        <v>4.3310185185185181E-2</v>
      </c>
      <c r="F51" s="98">
        <v>13.51</v>
      </c>
      <c r="G51" s="94">
        <v>97</v>
      </c>
      <c r="H51" s="97" t="s">
        <v>244</v>
      </c>
      <c r="I51" s="97"/>
      <c r="J51" s="97"/>
    </row>
    <row r="52" spans="1:10" x14ac:dyDescent="0.2">
      <c r="A52" s="123">
        <v>43649</v>
      </c>
      <c r="B52" s="616" t="s">
        <v>256</v>
      </c>
      <c r="C52" s="124"/>
      <c r="D52" s="125">
        <v>81.06</v>
      </c>
      <c r="E52" s="126">
        <v>0.2217824074074074</v>
      </c>
      <c r="F52" s="151">
        <v>15.23</v>
      </c>
      <c r="G52" s="132">
        <v>1469</v>
      </c>
      <c r="H52" s="97"/>
      <c r="I52" s="97"/>
      <c r="J52" s="134"/>
    </row>
    <row r="53" spans="1:10" x14ac:dyDescent="0.2">
      <c r="A53" s="123">
        <v>43650</v>
      </c>
      <c r="B53" s="617"/>
      <c r="C53" s="124"/>
      <c r="D53" s="125">
        <v>116.99</v>
      </c>
      <c r="E53" s="126">
        <v>0.34060185185185188</v>
      </c>
      <c r="F53" s="151">
        <v>14.31</v>
      </c>
      <c r="G53" s="132">
        <v>1828</v>
      </c>
      <c r="H53" s="97"/>
      <c r="I53" s="97"/>
      <c r="J53" s="97"/>
    </row>
    <row r="54" spans="1:10" x14ac:dyDescent="0.2">
      <c r="A54" s="123">
        <v>43651</v>
      </c>
      <c r="B54" s="617"/>
      <c r="C54" s="124"/>
      <c r="D54" s="125">
        <v>93.12</v>
      </c>
      <c r="E54" s="128">
        <v>0.22155092592592593</v>
      </c>
      <c r="F54" s="151">
        <v>17.510000000000002</v>
      </c>
      <c r="G54" s="132">
        <v>563</v>
      </c>
      <c r="H54" s="97"/>
      <c r="J54" s="97"/>
    </row>
    <row r="55" spans="1:10" x14ac:dyDescent="0.2">
      <c r="A55" s="123">
        <v>43652</v>
      </c>
      <c r="B55" s="618"/>
      <c r="C55" s="124"/>
      <c r="D55" s="125">
        <v>114.57</v>
      </c>
      <c r="E55" s="126">
        <v>0.29255787037037034</v>
      </c>
      <c r="F55" s="151">
        <v>16.309999999999999</v>
      </c>
      <c r="G55" s="132">
        <v>1224</v>
      </c>
      <c r="H55" s="97"/>
      <c r="I55" s="97"/>
      <c r="J55" s="97"/>
    </row>
    <row r="56" spans="1:10" x14ac:dyDescent="0.2">
      <c r="A56" s="121">
        <v>43654</v>
      </c>
      <c r="B56" s="113"/>
      <c r="C56" s="190"/>
      <c r="D56" s="92">
        <v>20.69</v>
      </c>
      <c r="E56" s="93">
        <v>4.0844907407407406E-2</v>
      </c>
      <c r="F56" s="98">
        <v>21.11</v>
      </c>
      <c r="G56" s="94">
        <v>206</v>
      </c>
      <c r="H56" s="97"/>
      <c r="I56" s="97"/>
      <c r="J56" s="97"/>
    </row>
    <row r="57" spans="1:10" x14ac:dyDescent="0.2">
      <c r="A57" s="121">
        <v>43655</v>
      </c>
      <c r="B57" s="113"/>
      <c r="C57" s="190"/>
      <c r="D57" s="92">
        <v>17.89</v>
      </c>
      <c r="E57" s="93">
        <v>3.5960648148148151E-2</v>
      </c>
      <c r="F57" s="98">
        <v>20.73</v>
      </c>
      <c r="G57" s="94">
        <v>161</v>
      </c>
      <c r="H57" s="274">
        <f>SUM(E52:E55)</f>
        <v>1.0764930555555556</v>
      </c>
      <c r="I57" s="97"/>
      <c r="J57" s="134"/>
    </row>
    <row r="58" spans="1:10" x14ac:dyDescent="0.2">
      <c r="A58" s="121">
        <v>43656</v>
      </c>
      <c r="B58" s="113"/>
      <c r="C58" s="190"/>
      <c r="D58" s="92">
        <v>20.72</v>
      </c>
      <c r="E58" s="93">
        <v>4.099537037037037E-2</v>
      </c>
      <c r="F58" s="98">
        <v>21.06</v>
      </c>
      <c r="G58" s="94">
        <v>203</v>
      </c>
      <c r="H58" s="97"/>
      <c r="I58" s="97"/>
      <c r="J58" s="97"/>
    </row>
    <row r="59" spans="1:10" x14ac:dyDescent="0.2">
      <c r="A59" s="121">
        <v>43656</v>
      </c>
      <c r="B59" s="113"/>
      <c r="C59" s="190"/>
      <c r="D59" s="92">
        <v>8.69</v>
      </c>
      <c r="E59" s="93">
        <v>2.4965277777777781E-2</v>
      </c>
      <c r="F59" s="98">
        <v>14.5</v>
      </c>
      <c r="G59" s="94">
        <v>196</v>
      </c>
      <c r="H59" s="97" t="s">
        <v>244</v>
      </c>
      <c r="I59" s="97"/>
      <c r="J59" s="97"/>
    </row>
    <row r="60" spans="1:10" x14ac:dyDescent="0.2">
      <c r="A60" s="121">
        <v>43657</v>
      </c>
      <c r="B60" s="113"/>
      <c r="C60" s="190"/>
      <c r="D60" s="92">
        <v>34.89</v>
      </c>
      <c r="E60" s="93">
        <v>7.076388888888889E-2</v>
      </c>
      <c r="F60" s="98">
        <v>20.54</v>
      </c>
      <c r="G60" s="94">
        <v>324</v>
      </c>
      <c r="H60" s="97"/>
      <c r="I60" s="97"/>
      <c r="J60" s="97"/>
    </row>
    <row r="61" spans="1:10" x14ac:dyDescent="0.2">
      <c r="A61" s="121">
        <v>43661</v>
      </c>
      <c r="B61" s="113"/>
      <c r="C61" s="190"/>
      <c r="D61" s="92">
        <v>9.16</v>
      </c>
      <c r="E61" s="93">
        <v>3.1157407407407408E-2</v>
      </c>
      <c r="F61" s="98">
        <v>12.2</v>
      </c>
      <c r="G61" s="94">
        <v>175</v>
      </c>
      <c r="H61" s="97" t="s">
        <v>244</v>
      </c>
      <c r="I61" s="97"/>
      <c r="J61" s="97"/>
    </row>
    <row r="62" spans="1:10" x14ac:dyDescent="0.2">
      <c r="A62" s="121">
        <v>43663</v>
      </c>
      <c r="B62" s="113"/>
      <c r="C62" s="190"/>
      <c r="D62" s="92">
        <v>7.81</v>
      </c>
      <c r="E62" s="93">
        <v>3.0138888888888885E-2</v>
      </c>
      <c r="F62" s="98">
        <v>10.8</v>
      </c>
      <c r="G62" s="94">
        <v>225</v>
      </c>
      <c r="H62" s="97" t="s">
        <v>244</v>
      </c>
    </row>
    <row r="63" spans="1:10" x14ac:dyDescent="0.2">
      <c r="A63" s="121">
        <v>43668</v>
      </c>
      <c r="B63" s="113"/>
      <c r="C63" s="190"/>
      <c r="D63" s="92">
        <v>20.63</v>
      </c>
      <c r="E63" s="93">
        <v>3.9918981481481479E-2</v>
      </c>
      <c r="F63" s="98">
        <v>21.53</v>
      </c>
      <c r="G63" s="94">
        <v>199</v>
      </c>
      <c r="H63" s="97"/>
    </row>
    <row r="64" spans="1:10" x14ac:dyDescent="0.2">
      <c r="A64" s="121">
        <v>43669</v>
      </c>
      <c r="B64" s="113"/>
      <c r="C64" s="190"/>
      <c r="D64" s="92">
        <v>19.86</v>
      </c>
      <c r="E64" s="93">
        <v>3.6898148148148145E-2</v>
      </c>
      <c r="F64" s="98">
        <v>22.42</v>
      </c>
      <c r="G64" s="94">
        <v>195</v>
      </c>
      <c r="H64" s="97"/>
    </row>
    <row r="65" spans="1:9" x14ac:dyDescent="0.2">
      <c r="A65" s="121">
        <v>43670</v>
      </c>
      <c r="B65" s="113"/>
      <c r="C65" s="190"/>
      <c r="D65" s="92">
        <v>21.01</v>
      </c>
      <c r="E65" s="93">
        <v>3.7303240740740741E-2</v>
      </c>
      <c r="F65" s="98">
        <v>22.36</v>
      </c>
      <c r="G65" s="94">
        <v>209</v>
      </c>
      <c r="H65" s="97"/>
    </row>
    <row r="66" spans="1:9" ht="13.5" thickBot="1" x14ac:dyDescent="0.25">
      <c r="A66" s="229">
        <v>43671</v>
      </c>
      <c r="B66" s="229"/>
      <c r="C66" s="229"/>
      <c r="D66" s="225">
        <v>20.010000000000002</v>
      </c>
      <c r="E66" s="238">
        <v>3.7303240740740741E-2</v>
      </c>
      <c r="F66" s="225">
        <v>22.36</v>
      </c>
      <c r="G66" s="226">
        <v>194</v>
      </c>
      <c r="H66" s="239"/>
      <c r="I66" s="33"/>
    </row>
    <row r="67" spans="1:9" ht="13.5" thickBot="1" x14ac:dyDescent="0.25">
      <c r="A67" s="229">
        <v>43672</v>
      </c>
      <c r="B67" s="229"/>
      <c r="C67" s="229"/>
      <c r="D67" s="225">
        <v>26.32</v>
      </c>
      <c r="E67" s="238">
        <v>5.122685185185185E-2</v>
      </c>
      <c r="F67" s="225">
        <v>21.41</v>
      </c>
      <c r="G67" s="226">
        <v>253</v>
      </c>
      <c r="H67" s="239"/>
    </row>
    <row r="68" spans="1:9" x14ac:dyDescent="0.2">
      <c r="A68" s="121">
        <v>43675</v>
      </c>
      <c r="B68" s="113"/>
      <c r="C68" s="190"/>
      <c r="D68" s="92">
        <v>13.18</v>
      </c>
      <c r="E68" s="93">
        <v>2.5381944444444443E-2</v>
      </c>
      <c r="F68" s="98">
        <v>21.65</v>
      </c>
      <c r="G68" s="94">
        <v>123</v>
      </c>
    </row>
    <row r="69" spans="1:9" x14ac:dyDescent="0.2">
      <c r="A69" s="121">
        <v>43676</v>
      </c>
      <c r="B69" s="113"/>
      <c r="C69" s="190"/>
      <c r="D69" s="92">
        <v>19.96</v>
      </c>
      <c r="E69" s="93">
        <v>3.6087962962962968E-2</v>
      </c>
      <c r="F69" s="98">
        <v>23.05</v>
      </c>
      <c r="G69" s="94">
        <v>166</v>
      </c>
      <c r="H69" s="97"/>
    </row>
    <row r="70" spans="1:9" x14ac:dyDescent="0.2">
      <c r="A70" s="121">
        <v>43678</v>
      </c>
      <c r="B70" s="113"/>
      <c r="C70" s="190"/>
      <c r="D70" s="92">
        <v>28.13</v>
      </c>
      <c r="E70" s="93">
        <v>5.6284722222222222E-2</v>
      </c>
      <c r="F70" s="98">
        <v>20.82</v>
      </c>
      <c r="G70" s="94">
        <v>334</v>
      </c>
      <c r="H70" s="97"/>
    </row>
    <row r="71" spans="1:9" x14ac:dyDescent="0.2">
      <c r="A71" s="121">
        <v>43679</v>
      </c>
      <c r="B71" s="113"/>
      <c r="C71" s="190"/>
      <c r="D71" s="92">
        <v>20.43</v>
      </c>
      <c r="E71" s="93">
        <v>3.9629629629629633E-2</v>
      </c>
      <c r="F71" s="98">
        <v>21.48</v>
      </c>
      <c r="G71" s="94">
        <v>203</v>
      </c>
      <c r="H71" s="97"/>
    </row>
    <row r="72" spans="1:9" x14ac:dyDescent="0.2">
      <c r="A72" s="121">
        <v>43681</v>
      </c>
      <c r="B72" s="113"/>
      <c r="C72" s="190"/>
      <c r="D72" s="92">
        <v>14.58</v>
      </c>
      <c r="E72" s="93">
        <v>3.5266203703703702E-2</v>
      </c>
      <c r="F72" s="98">
        <v>17.22</v>
      </c>
      <c r="G72" s="94">
        <v>227</v>
      </c>
      <c r="H72" s="275" t="s">
        <v>244</v>
      </c>
    </row>
    <row r="73" spans="1:9" x14ac:dyDescent="0.2">
      <c r="A73" s="121">
        <v>43682</v>
      </c>
      <c r="B73" s="113"/>
      <c r="C73" s="190"/>
      <c r="D73" s="92">
        <v>20.05</v>
      </c>
      <c r="E73" s="93">
        <v>3.7569444444444447E-2</v>
      </c>
      <c r="F73" s="98">
        <v>22.23</v>
      </c>
      <c r="G73" s="94">
        <v>194</v>
      </c>
      <c r="H73" s="97"/>
    </row>
    <row r="74" spans="1:9" x14ac:dyDescent="0.2">
      <c r="A74" s="121">
        <v>43683</v>
      </c>
      <c r="B74" s="113"/>
      <c r="C74" s="190"/>
      <c r="D74" s="92">
        <v>20.350000000000001</v>
      </c>
      <c r="E74" s="93">
        <v>3.8356481481481484E-2</v>
      </c>
      <c r="F74" s="98">
        <v>22.1</v>
      </c>
      <c r="G74" s="94">
        <v>218</v>
      </c>
      <c r="H74" s="97"/>
    </row>
    <row r="75" spans="1:9" x14ac:dyDescent="0.2">
      <c r="A75" s="121">
        <v>43685</v>
      </c>
      <c r="B75" s="113"/>
      <c r="C75" s="190"/>
      <c r="D75" s="92">
        <v>13.17</v>
      </c>
      <c r="E75" s="93">
        <v>2.9849537037037036E-2</v>
      </c>
      <c r="F75" s="98">
        <v>18.399999999999999</v>
      </c>
      <c r="G75" s="94">
        <v>178</v>
      </c>
      <c r="H75" s="97" t="s">
        <v>244</v>
      </c>
    </row>
    <row r="76" spans="1:9" x14ac:dyDescent="0.2">
      <c r="A76" s="121">
        <v>43691</v>
      </c>
      <c r="B76" s="113"/>
      <c r="C76" s="190"/>
      <c r="D76" s="92">
        <v>12.23</v>
      </c>
      <c r="E76" s="93">
        <v>2.7129629629629632E-2</v>
      </c>
      <c r="F76" s="98">
        <v>18.8</v>
      </c>
      <c r="G76" s="94">
        <v>183</v>
      </c>
      <c r="H76" s="97"/>
    </row>
    <row r="77" spans="1:9" x14ac:dyDescent="0.2">
      <c r="A77" s="121">
        <v>43692</v>
      </c>
      <c r="B77" s="113"/>
      <c r="C77" s="190"/>
      <c r="D77" s="92">
        <v>17.72</v>
      </c>
      <c r="E77" s="93">
        <v>4.02662037037037E-2</v>
      </c>
      <c r="F77" s="98">
        <v>18.3</v>
      </c>
      <c r="G77" s="94">
        <v>167</v>
      </c>
      <c r="H77" s="97"/>
    </row>
    <row r="78" spans="1:9" x14ac:dyDescent="0.2">
      <c r="A78" s="121">
        <v>43697</v>
      </c>
      <c r="B78" s="113"/>
      <c r="C78" s="190"/>
      <c r="D78" s="92">
        <v>8.1</v>
      </c>
      <c r="E78" s="93">
        <v>1.7465277777777777E-2</v>
      </c>
      <c r="F78" s="98">
        <v>19.3</v>
      </c>
      <c r="G78" s="94">
        <v>61</v>
      </c>
      <c r="H78" s="97"/>
    </row>
    <row r="79" spans="1:9" x14ac:dyDescent="0.2">
      <c r="A79" s="121">
        <v>43699</v>
      </c>
      <c r="B79" s="113"/>
      <c r="C79" s="190"/>
      <c r="D79" s="92">
        <v>3.37</v>
      </c>
      <c r="E79" s="93">
        <v>8.2060185185185187E-3</v>
      </c>
      <c r="F79" s="98">
        <v>17.100000000000001</v>
      </c>
      <c r="G79" s="94">
        <v>101</v>
      </c>
      <c r="H79" s="97"/>
    </row>
    <row r="80" spans="1:9" x14ac:dyDescent="0.2">
      <c r="A80" s="121">
        <v>43700</v>
      </c>
      <c r="B80" s="113"/>
      <c r="C80" s="190"/>
      <c r="D80" s="92">
        <v>22.08</v>
      </c>
      <c r="E80" s="93">
        <v>4.1238425925925921E-2</v>
      </c>
      <c r="F80" s="98">
        <v>22.3</v>
      </c>
      <c r="G80" s="94">
        <v>205</v>
      </c>
      <c r="H80" s="97"/>
    </row>
    <row r="81" spans="1:14" x14ac:dyDescent="0.2">
      <c r="A81" s="121">
        <v>43700</v>
      </c>
      <c r="B81" s="113"/>
      <c r="C81" s="190"/>
      <c r="D81" s="92">
        <v>13.03</v>
      </c>
      <c r="E81" s="93">
        <v>4.0740740740740737E-2</v>
      </c>
      <c r="F81" s="98">
        <v>13.3</v>
      </c>
      <c r="G81" s="94">
        <v>196</v>
      </c>
      <c r="H81" s="97" t="s">
        <v>244</v>
      </c>
    </row>
    <row r="82" spans="1:14" x14ac:dyDescent="0.2">
      <c r="A82" s="121">
        <v>43701</v>
      </c>
      <c r="B82" s="113"/>
      <c r="C82" s="190"/>
      <c r="D82" s="92">
        <v>13.86</v>
      </c>
      <c r="E82" s="93">
        <v>3.2407407407407406E-2</v>
      </c>
      <c r="F82" s="98">
        <v>17.8</v>
      </c>
      <c r="G82" s="94">
        <v>181</v>
      </c>
      <c r="H82" s="97" t="s">
        <v>244</v>
      </c>
    </row>
    <row r="83" spans="1:14" x14ac:dyDescent="0.2">
      <c r="A83" s="121">
        <v>43703</v>
      </c>
      <c r="B83" s="113"/>
      <c r="C83" s="190"/>
      <c r="D83" s="92">
        <v>22.13</v>
      </c>
      <c r="E83" s="93">
        <v>4.628472222222222E-2</v>
      </c>
      <c r="F83" s="98">
        <v>19.920000000000002</v>
      </c>
      <c r="G83" s="94">
        <v>246</v>
      </c>
      <c r="H83" s="97"/>
    </row>
    <row r="84" spans="1:14" x14ac:dyDescent="0.2">
      <c r="A84" s="121">
        <v>43704</v>
      </c>
      <c r="B84" s="113"/>
      <c r="C84" s="190"/>
      <c r="D84" s="92">
        <v>20.28</v>
      </c>
      <c r="E84" s="93">
        <v>3.7581018518518521E-2</v>
      </c>
      <c r="F84" s="98">
        <v>22.5</v>
      </c>
      <c r="G84" s="94">
        <v>199</v>
      </c>
      <c r="H84" s="97"/>
    </row>
    <row r="85" spans="1:14" x14ac:dyDescent="0.2">
      <c r="A85" s="121">
        <v>43704</v>
      </c>
      <c r="B85" s="113"/>
      <c r="C85" s="190"/>
      <c r="D85" s="92">
        <v>25.8</v>
      </c>
      <c r="E85" s="93">
        <v>6.6851851851851843E-2</v>
      </c>
      <c r="F85" s="98">
        <v>16.100000000000001</v>
      </c>
      <c r="G85" s="94">
        <v>155</v>
      </c>
      <c r="H85" s="97" t="s">
        <v>244</v>
      </c>
    </row>
    <row r="86" spans="1:14" x14ac:dyDescent="0.2">
      <c r="A86" s="121">
        <v>43705</v>
      </c>
      <c r="B86" s="113"/>
      <c r="C86" s="190"/>
      <c r="D86" s="92">
        <v>18.39</v>
      </c>
      <c r="E86" s="93">
        <v>3.5370370370370365E-2</v>
      </c>
      <c r="F86" s="98">
        <v>20.7</v>
      </c>
      <c r="G86" s="94">
        <v>182</v>
      </c>
      <c r="H86" s="97"/>
    </row>
    <row r="87" spans="1:14" x14ac:dyDescent="0.2">
      <c r="A87" s="121">
        <v>43706</v>
      </c>
      <c r="B87" s="113"/>
      <c r="C87" s="190"/>
      <c r="D87" s="92">
        <v>25.63</v>
      </c>
      <c r="E87" s="93">
        <v>5.3888888888888896E-2</v>
      </c>
      <c r="F87" s="98">
        <v>19.8</v>
      </c>
      <c r="G87" s="94">
        <v>162</v>
      </c>
      <c r="H87" s="97" t="s">
        <v>244</v>
      </c>
    </row>
    <row r="88" spans="1:14" x14ac:dyDescent="0.2">
      <c r="A88" s="121">
        <v>43707</v>
      </c>
      <c r="B88" s="113"/>
      <c r="C88" s="190"/>
      <c r="D88" s="92">
        <v>20.85</v>
      </c>
      <c r="E88" s="93">
        <v>3.9814814814814817E-2</v>
      </c>
      <c r="F88" s="98">
        <v>21.8</v>
      </c>
      <c r="G88" s="94">
        <v>194</v>
      </c>
      <c r="H88" s="97"/>
      <c r="J88" s="13"/>
    </row>
    <row r="89" spans="1:14" x14ac:dyDescent="0.2">
      <c r="A89" s="121">
        <v>43708</v>
      </c>
      <c r="B89" s="113"/>
      <c r="C89" s="190"/>
      <c r="D89" s="92">
        <v>38.770000000000003</v>
      </c>
      <c r="E89" s="93">
        <v>8.0104166666666657E-2</v>
      </c>
      <c r="F89" s="98">
        <v>20.2</v>
      </c>
      <c r="G89" s="94">
        <v>343</v>
      </c>
      <c r="H89" s="97"/>
    </row>
    <row r="90" spans="1:14" x14ac:dyDescent="0.2">
      <c r="A90" s="121">
        <v>43709</v>
      </c>
      <c r="B90" s="113"/>
      <c r="C90" s="190"/>
      <c r="D90" s="92">
        <v>19.2</v>
      </c>
      <c r="E90" s="93">
        <v>4.3217592592592592E-2</v>
      </c>
      <c r="F90" s="98">
        <v>18.5</v>
      </c>
      <c r="G90" s="94">
        <v>202</v>
      </c>
      <c r="H90" s="97" t="s">
        <v>244</v>
      </c>
      <c r="I90" s="33"/>
      <c r="K90" s="33"/>
      <c r="L90" s="33"/>
      <c r="M90" s="33"/>
      <c r="N90" s="33"/>
    </row>
    <row r="91" spans="1:14" x14ac:dyDescent="0.2">
      <c r="A91" s="121">
        <v>43711</v>
      </c>
      <c r="B91" s="113"/>
      <c r="C91" s="190"/>
      <c r="D91" s="92">
        <v>18.66</v>
      </c>
      <c r="E91" s="93">
        <v>3.7951388888888889E-2</v>
      </c>
      <c r="F91" s="98">
        <v>20.5</v>
      </c>
      <c r="G91" s="94">
        <v>176</v>
      </c>
      <c r="H91" s="97"/>
    </row>
    <row r="92" spans="1:14" x14ac:dyDescent="0.2">
      <c r="A92" s="121">
        <v>43712</v>
      </c>
      <c r="B92" s="113"/>
      <c r="C92" s="190"/>
      <c r="D92" s="92">
        <v>20.2</v>
      </c>
      <c r="E92" s="93">
        <v>3.9270833333333331E-2</v>
      </c>
      <c r="F92" s="98">
        <v>21.4</v>
      </c>
      <c r="G92" s="94">
        <v>202</v>
      </c>
      <c r="H92" s="97"/>
    </row>
    <row r="93" spans="1:14" x14ac:dyDescent="0.2">
      <c r="A93" s="121">
        <v>43713</v>
      </c>
      <c r="B93" s="113"/>
      <c r="C93" s="190"/>
      <c r="D93" s="92">
        <f>48.4+5.59</f>
        <v>53.989999999999995</v>
      </c>
      <c r="E93" s="93">
        <v>0.10306712962962962</v>
      </c>
      <c r="F93" s="98">
        <v>19.600000000000001</v>
      </c>
      <c r="G93" s="94">
        <v>260</v>
      </c>
      <c r="H93" s="97" t="s">
        <v>244</v>
      </c>
    </row>
    <row r="94" spans="1:14" x14ac:dyDescent="0.2">
      <c r="A94" s="121">
        <v>43714</v>
      </c>
      <c r="B94" s="113"/>
      <c r="C94" s="190"/>
      <c r="D94" s="92">
        <v>20.34</v>
      </c>
      <c r="E94" s="93">
        <v>6.3379629629629633E-2</v>
      </c>
      <c r="F94" s="98">
        <v>13.4</v>
      </c>
      <c r="G94" s="94">
        <v>124</v>
      </c>
      <c r="H94" s="97" t="s">
        <v>244</v>
      </c>
    </row>
    <row r="95" spans="1:14" x14ac:dyDescent="0.2">
      <c r="A95" s="121">
        <v>43718</v>
      </c>
      <c r="B95" s="113"/>
      <c r="C95" s="190"/>
      <c r="D95" s="92">
        <v>17.12</v>
      </c>
      <c r="E95" s="93">
        <v>3.5474537037037041E-2</v>
      </c>
      <c r="F95" s="98">
        <v>20.100000000000001</v>
      </c>
      <c r="G95" s="94">
        <v>169</v>
      </c>
      <c r="H95" s="97"/>
    </row>
    <row r="96" spans="1:14" x14ac:dyDescent="0.2">
      <c r="A96" s="121">
        <v>43719</v>
      </c>
      <c r="B96" s="113"/>
      <c r="C96" s="190"/>
      <c r="D96" s="92">
        <v>20.22</v>
      </c>
      <c r="E96" s="93">
        <v>3.6377314814814814E-2</v>
      </c>
      <c r="F96" s="98">
        <v>23.2</v>
      </c>
      <c r="G96" s="94">
        <v>200</v>
      </c>
      <c r="H96" s="97"/>
    </row>
    <row r="97" spans="1:8" x14ac:dyDescent="0.2">
      <c r="A97" s="121">
        <v>43720</v>
      </c>
      <c r="B97" s="113"/>
      <c r="C97" s="190"/>
      <c r="D97" s="92">
        <v>20.37</v>
      </c>
      <c r="E97" s="93">
        <v>3.7685185185185183E-2</v>
      </c>
      <c r="F97" s="98">
        <v>22.5</v>
      </c>
      <c r="G97" s="94">
        <v>192</v>
      </c>
      <c r="H97" s="97"/>
    </row>
    <row r="98" spans="1:8" x14ac:dyDescent="0.2">
      <c r="A98" s="121">
        <v>43720</v>
      </c>
      <c r="B98" s="113"/>
      <c r="C98" s="190"/>
      <c r="D98" s="92">
        <v>13.2</v>
      </c>
      <c r="E98" s="93">
        <v>3.1770833333333331E-2</v>
      </c>
      <c r="F98" s="98">
        <v>17.2</v>
      </c>
      <c r="G98" s="94">
        <v>188</v>
      </c>
      <c r="H98" s="97" t="s">
        <v>244</v>
      </c>
    </row>
    <row r="99" spans="1:8" x14ac:dyDescent="0.2">
      <c r="A99" s="121">
        <v>43721</v>
      </c>
      <c r="B99" s="113"/>
      <c r="C99" s="190"/>
      <c r="D99" s="92">
        <v>21.35</v>
      </c>
      <c r="E99" s="93">
        <v>4.0173611111111111E-2</v>
      </c>
      <c r="F99" s="98">
        <v>22.1</v>
      </c>
      <c r="G99" s="94">
        <v>210</v>
      </c>
      <c r="H99" s="97"/>
    </row>
    <row r="100" spans="1:8" x14ac:dyDescent="0.2">
      <c r="A100" s="121">
        <v>43723</v>
      </c>
      <c r="B100" s="113"/>
      <c r="C100" s="190"/>
      <c r="D100" s="92">
        <v>22.15</v>
      </c>
      <c r="E100" s="93">
        <v>4.4409722222222225E-2</v>
      </c>
      <c r="F100" s="98">
        <v>20.8</v>
      </c>
      <c r="G100" s="94">
        <v>266</v>
      </c>
      <c r="H100" s="97"/>
    </row>
    <row r="101" spans="1:8" ht="15" x14ac:dyDescent="0.2">
      <c r="A101" s="131">
        <v>43723</v>
      </c>
      <c r="B101" s="67" t="s">
        <v>253</v>
      </c>
      <c r="C101" s="118">
        <v>27</v>
      </c>
      <c r="D101" s="67">
        <v>20.58</v>
      </c>
      <c r="E101" s="68">
        <v>4.0219907407407406E-2</v>
      </c>
      <c r="F101" s="150">
        <v>21.3</v>
      </c>
      <c r="G101" s="69">
        <v>307</v>
      </c>
      <c r="H101" s="97"/>
    </row>
    <row r="102" spans="1:8" x14ac:dyDescent="0.2">
      <c r="A102" s="121">
        <v>43723</v>
      </c>
      <c r="B102" s="113"/>
      <c r="C102" s="190"/>
      <c r="D102" s="92">
        <v>24.72</v>
      </c>
      <c r="E102" s="93">
        <v>4.6921296296296294E-2</v>
      </c>
      <c r="F102" s="98">
        <v>24.72</v>
      </c>
      <c r="G102" s="94">
        <v>226</v>
      </c>
      <c r="H102" s="97"/>
    </row>
    <row r="103" spans="1:8" x14ac:dyDescent="0.2">
      <c r="A103" s="121">
        <v>43725</v>
      </c>
      <c r="B103" s="113"/>
      <c r="C103" s="190"/>
      <c r="D103" s="92">
        <v>14.09</v>
      </c>
      <c r="E103" s="93">
        <v>3.0578703703703702E-2</v>
      </c>
      <c r="F103" s="98">
        <v>19.62</v>
      </c>
      <c r="G103" s="94">
        <v>144</v>
      </c>
      <c r="H103" s="97"/>
    </row>
    <row r="104" spans="1:8" x14ac:dyDescent="0.2">
      <c r="A104" s="121">
        <v>43727</v>
      </c>
      <c r="B104" s="113"/>
      <c r="C104" s="190"/>
      <c r="D104" s="92">
        <v>18.13</v>
      </c>
      <c r="E104" s="93">
        <v>3.6076388888888887E-2</v>
      </c>
      <c r="F104" s="98">
        <v>20.94</v>
      </c>
      <c r="G104" s="94">
        <v>167</v>
      </c>
      <c r="H104" s="97"/>
    </row>
    <row r="105" spans="1:8" x14ac:dyDescent="0.2">
      <c r="A105" s="121">
        <v>43728</v>
      </c>
      <c r="B105" s="113"/>
      <c r="C105" s="190"/>
      <c r="D105" s="92">
        <v>14.39</v>
      </c>
      <c r="E105" s="93">
        <v>3.0578703703703702E-2</v>
      </c>
      <c r="F105" s="98">
        <v>19.62</v>
      </c>
      <c r="G105" s="94">
        <v>144</v>
      </c>
      <c r="H105" s="97"/>
    </row>
    <row r="106" spans="1:8" ht="15" x14ac:dyDescent="0.2">
      <c r="A106" s="131">
        <v>43729</v>
      </c>
      <c r="B106" s="67" t="s">
        <v>262</v>
      </c>
      <c r="C106" s="118">
        <v>19</v>
      </c>
      <c r="D106" s="67">
        <v>21.18</v>
      </c>
      <c r="E106" s="68">
        <v>6.0185185185185182E-2</v>
      </c>
      <c r="F106" s="150">
        <v>14.66</v>
      </c>
      <c r="G106" s="69">
        <v>979</v>
      </c>
      <c r="H106" s="97"/>
    </row>
    <row r="107" spans="1:8" x14ac:dyDescent="0.2">
      <c r="A107" s="121">
        <v>43729</v>
      </c>
      <c r="B107" s="113"/>
      <c r="C107" s="190"/>
      <c r="D107" s="92">
        <v>21.3</v>
      </c>
      <c r="E107" s="93">
        <v>3.7222222222222219E-2</v>
      </c>
      <c r="F107" s="98">
        <v>23.85</v>
      </c>
      <c r="G107" s="94">
        <v>209</v>
      </c>
      <c r="H107" s="97"/>
    </row>
    <row r="108" spans="1:8" x14ac:dyDescent="0.2">
      <c r="A108" s="121">
        <v>43731</v>
      </c>
      <c r="B108" s="113"/>
      <c r="C108" s="190"/>
      <c r="D108" s="92">
        <v>13.35</v>
      </c>
      <c r="E108" s="93">
        <v>2.9409722222222223E-2</v>
      </c>
      <c r="F108" s="98">
        <v>18.920000000000002</v>
      </c>
      <c r="G108" s="94">
        <v>132</v>
      </c>
      <c r="H108" s="97"/>
    </row>
    <row r="109" spans="1:8" x14ac:dyDescent="0.2">
      <c r="A109" s="121">
        <v>43732</v>
      </c>
      <c r="B109" s="113"/>
      <c r="C109" s="190"/>
      <c r="D109" s="92">
        <v>14.56</v>
      </c>
      <c r="E109" s="93">
        <v>2.9965277777777775E-2</v>
      </c>
      <c r="F109" s="98">
        <v>20.239999999999998</v>
      </c>
      <c r="G109" s="94">
        <v>127</v>
      </c>
      <c r="H109" s="97"/>
    </row>
    <row r="110" spans="1:8" x14ac:dyDescent="0.2">
      <c r="A110" s="121">
        <v>43734</v>
      </c>
      <c r="B110" s="113"/>
      <c r="C110" s="190"/>
      <c r="D110" s="92">
        <v>17.89</v>
      </c>
      <c r="E110" s="93">
        <v>3.4432870370370371E-2</v>
      </c>
      <c r="F110" s="98">
        <v>21.65</v>
      </c>
      <c r="G110" s="94">
        <v>154</v>
      </c>
      <c r="H110" s="97"/>
    </row>
    <row r="111" spans="1:8" x14ac:dyDescent="0.2">
      <c r="A111" s="121">
        <v>43735</v>
      </c>
      <c r="B111" s="113"/>
      <c r="C111" s="190"/>
      <c r="D111" s="92">
        <v>17.88</v>
      </c>
      <c r="E111" s="93">
        <v>3.6562499999999998E-2</v>
      </c>
      <c r="F111" s="98">
        <v>20.38</v>
      </c>
      <c r="G111" s="94">
        <v>162</v>
      </c>
    </row>
    <row r="112" spans="1:8" x14ac:dyDescent="0.2">
      <c r="A112" s="121">
        <v>43739</v>
      </c>
      <c r="B112" s="113"/>
      <c r="C112" s="190"/>
      <c r="D112" s="92">
        <v>15.23</v>
      </c>
      <c r="E112" s="93">
        <v>3.3923611111111113E-2</v>
      </c>
      <c r="F112" s="98">
        <v>18.7</v>
      </c>
      <c r="G112" s="94">
        <v>304</v>
      </c>
    </row>
    <row r="113" spans="1:8" x14ac:dyDescent="0.2">
      <c r="A113" s="121">
        <v>43741</v>
      </c>
      <c r="B113" s="113"/>
      <c r="C113" s="190"/>
      <c r="D113" s="92">
        <v>15.33</v>
      </c>
      <c r="E113" s="93">
        <v>3.2893518518518523E-2</v>
      </c>
      <c r="F113" s="98">
        <v>19.420000000000002</v>
      </c>
      <c r="G113" s="94">
        <v>142</v>
      </c>
    </row>
    <row r="114" spans="1:8" x14ac:dyDescent="0.2">
      <c r="A114" s="121">
        <v>43745</v>
      </c>
      <c r="B114" s="113"/>
      <c r="C114" s="190"/>
      <c r="D114" s="92">
        <v>8.06</v>
      </c>
      <c r="E114" s="93">
        <v>4.7824074074074074E-2</v>
      </c>
      <c r="F114" s="98">
        <v>20.38</v>
      </c>
      <c r="G114" s="94">
        <v>27</v>
      </c>
    </row>
    <row r="115" spans="1:8" x14ac:dyDescent="0.2">
      <c r="A115" s="121">
        <v>43749</v>
      </c>
      <c r="B115" s="613" t="s">
        <v>254</v>
      </c>
      <c r="C115" s="190"/>
      <c r="D115" s="92">
        <v>25.54</v>
      </c>
      <c r="E115" s="93">
        <v>8.2754629629629636E-2</v>
      </c>
      <c r="F115" s="98">
        <v>12.85</v>
      </c>
      <c r="G115" s="94">
        <v>67</v>
      </c>
      <c r="H115" t="s">
        <v>244</v>
      </c>
    </row>
    <row r="116" spans="1:8" x14ac:dyDescent="0.2">
      <c r="A116" s="121">
        <v>43750</v>
      </c>
      <c r="B116" s="614"/>
      <c r="C116" s="190"/>
      <c r="D116" s="92">
        <v>32.46</v>
      </c>
      <c r="E116" s="93">
        <v>0.10162037037037037</v>
      </c>
      <c r="F116" s="98">
        <v>13.31</v>
      </c>
      <c r="G116" s="94">
        <v>199</v>
      </c>
      <c r="H116" t="s">
        <v>244</v>
      </c>
    </row>
    <row r="117" spans="1:8" x14ac:dyDescent="0.2">
      <c r="A117" s="121">
        <v>43751</v>
      </c>
      <c r="B117" s="615"/>
      <c r="C117" s="190"/>
      <c r="D117" s="92">
        <v>30.98</v>
      </c>
      <c r="E117" s="93">
        <v>8.5972222222222228E-2</v>
      </c>
      <c r="F117" s="98">
        <v>15.01</v>
      </c>
      <c r="G117" s="94">
        <v>56</v>
      </c>
      <c r="H117" t="s">
        <v>244</v>
      </c>
    </row>
    <row r="118" spans="1:8" x14ac:dyDescent="0.2">
      <c r="A118" s="121">
        <v>43759</v>
      </c>
      <c r="B118" s="113"/>
      <c r="C118" s="190"/>
      <c r="D118" s="92">
        <v>15</v>
      </c>
      <c r="E118" s="93">
        <v>3.1354166666666662E-2</v>
      </c>
      <c r="F118" s="98">
        <v>19.93</v>
      </c>
      <c r="G118" s="94">
        <v>138</v>
      </c>
    </row>
    <row r="119" spans="1:8" x14ac:dyDescent="0.2">
      <c r="A119" s="121">
        <v>43761</v>
      </c>
      <c r="B119" s="113"/>
      <c r="C119" s="190"/>
      <c r="D119" s="92">
        <v>17.489999999999998</v>
      </c>
      <c r="E119" s="93">
        <v>3.4409722222222223E-2</v>
      </c>
      <c r="F119" s="98">
        <v>21.18</v>
      </c>
      <c r="G119" s="94">
        <v>158</v>
      </c>
    </row>
    <row r="120" spans="1:8" x14ac:dyDescent="0.2">
      <c r="A120" s="121">
        <v>43768</v>
      </c>
      <c r="B120" s="113"/>
      <c r="C120" s="190"/>
      <c r="D120" s="92">
        <v>17.059999999999999</v>
      </c>
      <c r="E120" s="93">
        <v>3.6412037037037034E-2</v>
      </c>
      <c r="F120" s="98">
        <v>19.52</v>
      </c>
      <c r="G120" s="94">
        <v>165</v>
      </c>
    </row>
    <row r="121" spans="1:8" x14ac:dyDescent="0.2">
      <c r="A121" s="121">
        <v>43770</v>
      </c>
      <c r="B121" s="113"/>
      <c r="C121" s="190"/>
      <c r="D121" s="92">
        <v>20.51</v>
      </c>
      <c r="E121" s="93">
        <v>4.1678240740740745E-2</v>
      </c>
      <c r="F121" s="98">
        <v>20.51</v>
      </c>
      <c r="G121" s="94">
        <v>225</v>
      </c>
    </row>
    <row r="122" spans="1:8" x14ac:dyDescent="0.2">
      <c r="A122" s="121">
        <v>43773</v>
      </c>
      <c r="B122" s="113"/>
      <c r="C122" s="190"/>
      <c r="D122" s="92">
        <v>20.45</v>
      </c>
      <c r="E122" s="93">
        <v>4.1018518518518517E-2</v>
      </c>
      <c r="F122" s="98">
        <v>20.77</v>
      </c>
      <c r="G122" s="94">
        <v>206</v>
      </c>
    </row>
    <row r="123" spans="1:8" x14ac:dyDescent="0.2">
      <c r="A123" s="121">
        <v>43784</v>
      </c>
      <c r="B123" s="113"/>
      <c r="C123" s="190"/>
      <c r="D123" s="92">
        <v>20.54</v>
      </c>
      <c r="E123" s="93">
        <v>4.2743055555555555E-2</v>
      </c>
      <c r="F123" s="98">
        <v>20.02</v>
      </c>
      <c r="G123" s="94">
        <v>214</v>
      </c>
    </row>
    <row r="124" spans="1:8" x14ac:dyDescent="0.2">
      <c r="A124" s="121">
        <v>43786</v>
      </c>
      <c r="B124" s="113"/>
      <c r="C124" s="190"/>
      <c r="D124" s="92">
        <v>36.200000000000003</v>
      </c>
      <c r="E124" s="93">
        <v>8.0555555555555561E-2</v>
      </c>
      <c r="F124" s="98">
        <v>18.3</v>
      </c>
      <c r="G124" s="94">
        <v>368</v>
      </c>
    </row>
    <row r="125" spans="1:8" x14ac:dyDescent="0.2">
      <c r="A125" s="121">
        <v>43790</v>
      </c>
      <c r="B125" s="113"/>
      <c r="C125" s="190"/>
      <c r="D125" s="92">
        <v>5.74</v>
      </c>
      <c r="E125" s="93">
        <v>1.019675925925926E-2</v>
      </c>
      <c r="F125" s="98">
        <v>23.43</v>
      </c>
      <c r="G125" s="94">
        <v>29</v>
      </c>
    </row>
    <row r="126" spans="1:8" x14ac:dyDescent="0.2">
      <c r="A126" s="121">
        <v>43803</v>
      </c>
      <c r="B126" s="113"/>
      <c r="C126" s="190"/>
      <c r="D126" s="92">
        <v>13.72</v>
      </c>
      <c r="E126" s="93">
        <v>3.1365740740740743E-2</v>
      </c>
      <c r="F126" s="98">
        <v>18.23</v>
      </c>
      <c r="G126" s="94">
        <v>146</v>
      </c>
    </row>
    <row r="127" spans="1:8" x14ac:dyDescent="0.2">
      <c r="A127" s="121"/>
      <c r="B127" s="113"/>
      <c r="C127" s="190"/>
      <c r="D127" s="92"/>
      <c r="E127" s="93"/>
      <c r="F127" s="98"/>
      <c r="G127" s="94"/>
    </row>
    <row r="128" spans="1:8" x14ac:dyDescent="0.2">
      <c r="A128" s="121"/>
      <c r="B128" s="113"/>
      <c r="C128" s="190"/>
      <c r="D128" s="92"/>
      <c r="E128" s="93"/>
      <c r="F128" s="98"/>
      <c r="G128" s="94"/>
    </row>
    <row r="129" spans="1:9" x14ac:dyDescent="0.2">
      <c r="A129" s="121"/>
      <c r="B129" s="113"/>
      <c r="C129" s="190"/>
      <c r="D129" s="92"/>
      <c r="E129" s="93"/>
      <c r="F129" s="98"/>
      <c r="G129" s="94"/>
    </row>
    <row r="130" spans="1:9" x14ac:dyDescent="0.2">
      <c r="A130" s="121"/>
      <c r="B130" s="113"/>
      <c r="C130" s="190"/>
      <c r="D130" s="92"/>
      <c r="E130" s="93"/>
      <c r="F130" s="98"/>
      <c r="G130" s="94"/>
    </row>
    <row r="131" spans="1:9" x14ac:dyDescent="0.2">
      <c r="A131" s="121"/>
      <c r="B131" s="113"/>
      <c r="C131" s="190"/>
      <c r="D131" s="92"/>
      <c r="E131" s="93"/>
      <c r="F131" s="98"/>
      <c r="G131" s="94"/>
    </row>
    <row r="132" spans="1:9" x14ac:dyDescent="0.2">
      <c r="A132" s="121"/>
      <c r="B132" s="113"/>
      <c r="C132" s="190"/>
      <c r="D132" s="92"/>
      <c r="E132" s="93"/>
      <c r="F132" s="98"/>
      <c r="G132" s="94"/>
    </row>
    <row r="133" spans="1:9" ht="14.25" x14ac:dyDescent="0.2">
      <c r="A133" s="187" t="s">
        <v>90</v>
      </c>
      <c r="D133">
        <f>SUM(D2:D132)-K6</f>
        <v>2386.1299999999978</v>
      </c>
      <c r="E133" s="251">
        <f>SUM(E2:E132)-L6</f>
        <v>5.1867013888888858</v>
      </c>
      <c r="F133" s="33">
        <f>AVERAGEIF(H2:H132,"",F2:F132)</f>
        <v>20.270315789473681</v>
      </c>
      <c r="G133" s="194">
        <f>SUM(G2:G132)-N6</f>
        <v>26587</v>
      </c>
      <c r="H133" t="s">
        <v>90</v>
      </c>
      <c r="I133">
        <f>SUM(I2:I112)</f>
        <v>1590</v>
      </c>
    </row>
    <row r="134" spans="1:9" ht="13.5" thickBot="1" x14ac:dyDescent="0.25">
      <c r="I134" s="33">
        <f>I133/D133</f>
        <v>0.66635095321713467</v>
      </c>
    </row>
    <row r="135" spans="1:9" x14ac:dyDescent="0.2">
      <c r="B135" s="259"/>
      <c r="C135" s="588" t="s">
        <v>247</v>
      </c>
      <c r="D135" s="589"/>
      <c r="E135" s="588" t="s">
        <v>248</v>
      </c>
      <c r="F135" s="589"/>
      <c r="G135" s="588" t="s">
        <v>249</v>
      </c>
      <c r="H135" s="589"/>
    </row>
    <row r="136" spans="1:9" ht="13.5" thickBot="1" x14ac:dyDescent="0.25">
      <c r="B136" s="269"/>
      <c r="C136" s="267" t="s">
        <v>203</v>
      </c>
      <c r="D136" s="268" t="s">
        <v>202</v>
      </c>
      <c r="E136" s="267" t="s">
        <v>203</v>
      </c>
      <c r="F136" s="268" t="s">
        <v>202</v>
      </c>
      <c r="G136" s="267" t="s">
        <v>203</v>
      </c>
      <c r="H136" s="268" t="s">
        <v>202</v>
      </c>
    </row>
    <row r="137" spans="1:9" x14ac:dyDescent="0.2">
      <c r="B137" s="270" t="s">
        <v>178</v>
      </c>
      <c r="C137" s="265">
        <f>SUMIFS($D$2:$D$112,$A$2:$A$112,"&lt;=31.1.2019")</f>
        <v>0</v>
      </c>
      <c r="D137" s="266">
        <f>COUNTIFS($A$2:$A$112,"&gt;=1.1.2019",$A$2:$A$112,"&lt;=31.1.2019")</f>
        <v>0</v>
      </c>
      <c r="E137" s="265">
        <f>SUMIFS($D$2:$D$112,$A$2:$A$112,"&lt;=31.1.2019")</f>
        <v>0</v>
      </c>
      <c r="F137" s="266">
        <f>COUNTIFS($A$2:$A$112,"&gt;=1.1.2019",$A$2:$A$112,"&lt;=31.1.2019",$H$2:$H$112,"")</f>
        <v>0</v>
      </c>
      <c r="G137" s="265">
        <f>SUMIFS($D$2:$D$112,$A$2:$A$112,"&lt;=31.1.2019")</f>
        <v>0</v>
      </c>
      <c r="H137" s="266">
        <f>COUNTIFS($A$2:$A$112,"&gt;=1.1.2019",$A$2:$A$112,"&lt;=31.1.2019",$H$2:$H$112,"e")</f>
        <v>0</v>
      </c>
    </row>
    <row r="138" spans="1:9" x14ac:dyDescent="0.2">
      <c r="B138" s="271" t="s">
        <v>179</v>
      </c>
      <c r="C138" s="260">
        <f>SUMIFS($D$2:$D$112,$A$2:$A$112,"&lt;1.3.2019")-SUMIFS($D$2:$D$55,$A$2:$A$55,"&lt;1.2.2019")</f>
        <v>62.040000000000006</v>
      </c>
      <c r="D138" s="261">
        <f>COUNTIFS($A$2:$A$112,"&gt;=1.2.2019",$A$2:$A$112,"&lt;=28.2.2019")</f>
        <v>4</v>
      </c>
      <c r="E138" s="260">
        <f>SUMIFS($D$2:$D$112,$A$2:$A$112,"&lt;1.3.2019",H2:H112,"")-SUMIFS($D$2:$D$112,$A$2:$A$112,"&lt;1.2.2019",H2:H112,"")</f>
        <v>46.44</v>
      </c>
      <c r="F138" s="261">
        <f>COUNTIFS($A$2:$A$112,"&gt;=1.2.2019",$A$2:$A$112,"&lt;=28.2.2019",$H$2:$H$112,"")</f>
        <v>3</v>
      </c>
      <c r="G138" s="260">
        <f>SUMIFS($D$2:$D$112,$A$2:$A$112,"&lt;1.3.2019",H2:H112,"e")-SUMIFS($D$2:$D$112,$A$2:$A$112,"&lt;1.2.2019",H2:H112,"e")</f>
        <v>0</v>
      </c>
      <c r="H138" s="261">
        <f>COUNTIFS($A$2:$A$112,"&gt;=1.2.2019",$A$2:$A$112,"&lt;=28.2.2019",$H$2:$H$112,"e")</f>
        <v>0</v>
      </c>
    </row>
    <row r="139" spans="1:9" x14ac:dyDescent="0.2">
      <c r="B139" s="271" t="s">
        <v>180</v>
      </c>
      <c r="C139" s="260">
        <f>SUMIFS($D$2:$D$112,$A$2:$A$112,"&lt;1.4.2019")-SUMIFS($D$2:$D$55,$A$2:$A$55,"&lt;1.3.2019")</f>
        <v>159.60000000000002</v>
      </c>
      <c r="D139" s="261">
        <f>COUNTIFS($A$2:$A$112,"&gt;=1.3.2019",$A$2:$A$112,"&lt;=31.3.2019")</f>
        <v>8</v>
      </c>
      <c r="E139" s="260">
        <f>SUMIFS($D$2:$D$112,$A$2:$A$112,"&lt;1.4.2019",H2:H112,"")-SUMIFS($D$2:$D$112,$A$2:$A$112,"&lt;1.3.2019",H2:H112,"")</f>
        <v>159.60000000000002</v>
      </c>
      <c r="F139" s="261">
        <f>COUNTIFS($A$2:$A$112,"&gt;=1.3.2019",$A$2:$A$112,"&lt;=31.3.2019",$H$2:$H$112,"")</f>
        <v>8</v>
      </c>
      <c r="G139" s="260">
        <f>SUMIFS($D$2:$D$112,$A$2:$A$112,"&lt;1.4.2019",H2:H112,"e")-SUMIFS($D$2:$D$112,$A$2:$A$112,"&lt;1.3.2019",H2:H112,"e")</f>
        <v>0</v>
      </c>
      <c r="H139" s="261">
        <f>COUNTIFS($A$2:$A$112,"&gt;=1.3.2019",$A$2:$A$112,"&lt;=31.3.2019",$H$2:$H$112,"e")</f>
        <v>0</v>
      </c>
    </row>
    <row r="140" spans="1:9" x14ac:dyDescent="0.2">
      <c r="B140" s="271" t="s">
        <v>181</v>
      </c>
      <c r="C140" s="260">
        <f>SUMIFS($D$2:$D$55,$A$2:$A$55,"&lt;1.5.2019")-SUMIFS($D$2:$D$55,$A$2:$A$55,"&lt;1.4.2019")</f>
        <v>117.60999999999996</v>
      </c>
      <c r="D140" s="261">
        <f>COUNTIFS($A$2:$A$112,"&gt;=1.4.2019",$A$2:$A$112,"&lt;=30.4.2019")</f>
        <v>6</v>
      </c>
      <c r="E140" s="260">
        <f>SUMIFS($D$2:$D$112,$A$2:$A$112,"&lt;1.5.2019",H2:H112,"")-SUMIFS($D$2:$D$112,$A$2:$A$112,"&lt;1.4.2019",H2:H112,"")</f>
        <v>117.61000000000001</v>
      </c>
      <c r="F140" s="261">
        <f>COUNTIFS($A$2:$A$112,"&gt;=1.4.2019",$A$2:$A$112,"&lt;=30.4.2019",$H$2:$H$112,"")</f>
        <v>6</v>
      </c>
      <c r="G140" s="260">
        <f>SUMIFS($D$2:$D$112,$A$2:$A$112,"&lt;1.5.2019",H2:H112,"e")-SUMIFS($D$2:$D$112,$A$2:$A$112,"&lt;1.4.2019",H2:H112,"e")</f>
        <v>0</v>
      </c>
      <c r="H140" s="261">
        <f>COUNTIFS($A$2:$A$112,"&gt;=1.4.2019",$A$2:$A$112,"&lt;=30.4.2019",$H$2:$H$112,"e")</f>
        <v>0</v>
      </c>
    </row>
    <row r="141" spans="1:9" x14ac:dyDescent="0.2">
      <c r="B141" s="271" t="s">
        <v>182</v>
      </c>
      <c r="C141" s="260">
        <f>SUMIFS($D$2:$D$55,$A$2:$A$55,"&lt;1.6.2019")-SUMIFS($D$2:$D$55,$A$2:$A$55,"&lt;1.5.2019")</f>
        <v>133.88</v>
      </c>
      <c r="D141" s="261">
        <f>COUNTIFS($A$2:$A$112,"&gt;=1.5.2019",$A$2:$A$112,"&lt;=31.5.2019")</f>
        <v>7</v>
      </c>
      <c r="E141" s="260">
        <f>SUMIFS($D$2:$D$112,$A$2:$A$112,"&lt;1.6.2019",H2:H112,"")-SUMIFS($D$2:$D$112,$A$2:$A$112,"&lt;1.5.2019",H2:H112,"")</f>
        <v>118.56</v>
      </c>
      <c r="F141" s="261">
        <f>COUNTIFS($A$2:$A$112,"&gt;=1.5.2019",$A$2:$A$112,"&lt;=31.5.2019",$H$2:$H$112,"")</f>
        <v>5</v>
      </c>
      <c r="G141" s="260">
        <f>SUMIFS($D$2:$D$112,$A$2:$A$112,"&lt;1.6.2019",H2:H112,"e")-SUMIFS($D$2:$D$112,$A$2:$A$112,"&lt;1.5.2019",H2:H112,"e")</f>
        <v>15.32</v>
      </c>
      <c r="H141" s="261">
        <f>COUNTIFS($A$2:$A$112,"&gt;=1.5.2019",$A$2:$A$112,"&lt;=31.5.2019",$H$2:$H$112,"e")</f>
        <v>2</v>
      </c>
    </row>
    <row r="142" spans="1:9" x14ac:dyDescent="0.2">
      <c r="B142" s="271" t="s">
        <v>183</v>
      </c>
      <c r="C142" s="260">
        <f>SUMIFS($D$2:$D$55,$A$2:$A$55,"&lt;1.7.2019")-SUMIFS($D$2:$D$55,$A$2:$A$55,"&lt;1.6.2019")</f>
        <v>533.31000000000006</v>
      </c>
      <c r="D142" s="261">
        <f>COUNTIFS($A$2:$A$112,"&gt;=1.6.2019",$A$2:$A$112,"&lt;=30.6.2019")</f>
        <v>23</v>
      </c>
      <c r="E142" s="260">
        <f>SUMIFS($D$2:$D$112,$A$2:$A$112,"&lt;1.7.2019",H2:H112,"")-SUMIFS($D$2:$D$112,$A$2:$A$112,"&lt;1.6.2019",H2:H112,"")</f>
        <v>431.97</v>
      </c>
      <c r="F142" s="261">
        <f>COUNTIFS($A$2:$A$112,"&gt;=1.6.2019",$A$2:$A$112,"&lt;=30.6.2019",$H$2:$H$112,"")</f>
        <v>15</v>
      </c>
      <c r="G142" s="260">
        <f>SUMIFS($D$2:$D$112,$A$2:$A$112,"&lt;1.7.2019",H2:H112,"e")-SUMIFS($D$2:$D$112,$A$2:$A$112,"&lt;1.6.2019",H2:H112,"e")</f>
        <v>62.24</v>
      </c>
      <c r="H142" s="261">
        <f>COUNTIFS($A$2:$A$112,"&gt;=1.6.2019",$A$2:$A$112,"&lt;=30.6.2019",$H$2:$H$112,"e")</f>
        <v>6</v>
      </c>
    </row>
    <row r="143" spans="1:9" x14ac:dyDescent="0.2">
      <c r="B143" s="271" t="s">
        <v>184</v>
      </c>
      <c r="C143" s="260">
        <f>SUMIFS($D$2:$D$80,$A$2:$A$80,"&lt;1.8.2019")-SUMIFS($D$2:$D$80,$A$2:$A$80,"&lt;1.7.2019")</f>
        <v>691.54000000000042</v>
      </c>
      <c r="D143" s="261">
        <f>COUNTIFS($A$2:$A$112,"&gt;=1.7.2019",$A$2:$A$112,"&lt;=31.7.2019")</f>
        <v>20</v>
      </c>
      <c r="E143" s="260">
        <f>SUMIFS($D$2:$D$112,$A$2:$A$112,"&lt;1.8.2019",$H$2:$H$112,"")-SUMIFS($D$2:$D$112,$A$2:$A$112,"&lt;1.7.2019",$H$2:$H$112,"")</f>
        <v>623.01</v>
      </c>
      <c r="F143" s="261">
        <f>COUNTIFS($A$2:$A$112,"&gt;=1.7.2019",$A$2:$A$112,"&lt;=31.7.2019",$H$2:$H$112,"")</f>
        <v>14</v>
      </c>
      <c r="G143" s="260">
        <f>SUMIFS($D$2:$D$112,$A$2:$A$112,"&lt;1.8.2019",$H$2:$H$112,"e")-SUMIFS($D$2:$D$112,$A$2:$A$112,"&lt;1.7.2019",$H$2:$H$112,"e")</f>
        <v>50.639999999999986</v>
      </c>
      <c r="H143" s="261">
        <f>COUNTIFS($A$2:$A$112,"&gt;=1.7.2019",$A$2:$A$112,"&lt;=31.7.2019",$H$2:$H$112,"e")</f>
        <v>5</v>
      </c>
    </row>
    <row r="144" spans="1:9" x14ac:dyDescent="0.2">
      <c r="B144" s="271" t="s">
        <v>185</v>
      </c>
      <c r="C144" s="260">
        <f>SUMIFS($D$2:$D$112,$A$2:$A$112,"&lt;1.9.2019")-SUMIFS($D$2:$D$112,$A$2:$A$112,"&lt;1.8.2019")</f>
        <v>378.94999999999982</v>
      </c>
      <c r="D144" s="261">
        <f>COUNTIFS($A$2:$A$112,"&gt;=1.8.2019",$A$2:$A$112,"&lt;=31.8.2019")</f>
        <v>20</v>
      </c>
      <c r="E144" s="260">
        <f>SUMIFS($D$2:$D$112,$A$2:$A$112,"&lt;1.9.2019",$H$2:$H$112,"")-SUMIFS($D$2:$D$112,$A$2:$A$112,"&lt;1.8.2019",$H$2:$H$112,"")</f>
        <v>272.87999999999988</v>
      </c>
      <c r="F144" s="261">
        <f>COUNTIFS($A$2:$A$112,"&gt;=1.8.2019",$A$2:$A$112,"&lt;=31.8.2019",$H$2:$H$112,"")</f>
        <v>14</v>
      </c>
      <c r="G144" s="260">
        <f>SUMIFS($D$2:$D$112,$A$2:$A$112,"&lt;1.9.2019",$H$2:$H$112,"e")-SUMIFS($D$2:$D$112,$A$2:$A$112,"&lt;1.8.2019",$H$2:$H$112,"e")</f>
        <v>106.07</v>
      </c>
      <c r="H144" s="261">
        <f>COUNTIFS($A$2:$A$112,"&gt;=1.8.2019",$A$2:$A$112,"&lt;=31.8.2019",$H$2:$H$112,"e")</f>
        <v>6</v>
      </c>
    </row>
    <row r="145" spans="2:8" x14ac:dyDescent="0.2">
      <c r="B145" s="271" t="s">
        <v>186</v>
      </c>
      <c r="C145" s="260">
        <f>SUMIFS($D$2:$D$112,$A$2:$A$112,"&lt;1.10.2019")-SUMIFS($D$2:$D$112,$A$2:$A$112,"&lt;1.9.2019")</f>
        <v>444.86999999999853</v>
      </c>
      <c r="D145" s="261">
        <f>COUNTIFS($A$2:$A$112,"&gt;=1.9.2019",$A$2:$A$112,"&lt;=30.9.2019")</f>
        <v>22</v>
      </c>
      <c r="E145" s="260">
        <f>SUMIFS($D$2:$D$112,$A$2:$A$112,"&lt;1.10.2019",$H$2:$H$112,"")-SUMIFS($D$2:$D$112,$A$2:$A$112,"&lt;1.9.2019",$H$2:$H$112,"")</f>
        <v>338.1400000000001</v>
      </c>
      <c r="F145" s="261">
        <f>COUNTIFS($A$2:$A$112,"&gt;=1.9.2019",$A$2:$A$112,"&lt;=30.9.2019",$H$2:$H$112,"")</f>
        <v>18</v>
      </c>
      <c r="G145" s="260">
        <f>SUMIFS($D$2:$D$112,$A$2:$A$112,"&lt;1.10.2019",$H$2:$H$112,"e")-SUMIFS($D$2:$D$112,$A$2:$A$112,"&lt;1.9.2019",$H$2:$H$112,"e")</f>
        <v>106.72999999999996</v>
      </c>
      <c r="H145" s="261">
        <f>COUNTIFS($A$2:$A$112,"&gt;=1.9.2019",$A$2:$A$112,"&lt;=30.9.2019",$H$2:$H$112,"e")</f>
        <v>4</v>
      </c>
    </row>
    <row r="146" spans="2:8" x14ac:dyDescent="0.2">
      <c r="B146" s="271" t="s">
        <v>187</v>
      </c>
      <c r="C146" s="260">
        <f>SUMIFS($D$2:$D$132,$A$2:$A$132,"&lt;31.10.2019")-SUMIFS($D$2:$D$132,$A$2:$A$132,"&lt;1.10.2019")</f>
        <v>177.14999999999964</v>
      </c>
      <c r="D146" s="261">
        <f>COUNTIFS($A$2:$A$132,"&gt;=1.10.2019",$A$2:$A$132,"&lt;=31.10.2019")</f>
        <v>9</v>
      </c>
      <c r="E146" s="260">
        <f>SUMIFS($D$2:$D$132,$A$2:$A$132,"&lt;1.11.2019",$H$2:$H$132,"")-SUMIFS($D$2:$D$132,$A$2:$A$132,"&lt;1.10.2019",$H$2:$H$132,"")</f>
        <v>88.169999999999618</v>
      </c>
      <c r="F146" s="261">
        <f>COUNTIFS($A$2:$A$132,"&gt;=1.10.2019",$A$2:$A$132,"&lt;=31.10.2019",$H$2:$H$132,"")</f>
        <v>6</v>
      </c>
      <c r="G146" s="260">
        <f>SUMIFS($D$2:$D$132,$A$2:$A$132,"&lt;1.11.2019",$H$2:$H$132,"e")-SUMIFS($D$2:$D$132,$A$2:$A$132,"&lt;1.10.2019",$H$2:$H$132,"e")</f>
        <v>88.980000000000018</v>
      </c>
      <c r="H146" s="261">
        <f>COUNTIFS($A$2:$A$132,"&gt;=1.10.2019",$A$2:$A$132,"&lt;=31.10.2019",$H$2:$H$132,"e")</f>
        <v>3</v>
      </c>
    </row>
    <row r="147" spans="2:8" x14ac:dyDescent="0.2">
      <c r="B147" s="271" t="s">
        <v>188</v>
      </c>
      <c r="C147" s="260">
        <f>SUMIFS($D$2:$D$132,$A$2:$A$132,"&lt;30.11.2019")-SUMIFS($D$2:$D$132,$A$2:$A$132,"&lt;1.11.2019")</f>
        <v>103.4399999999996</v>
      </c>
      <c r="D147" s="261">
        <f>COUNTIFS($A$2:$A$132,"&gt;=1.11.2019",$A$2:$A$132,"&lt;=30.11.2019")</f>
        <v>5</v>
      </c>
      <c r="E147" s="260">
        <f>SUMIFS($D$2:$D$132,$A$2:$A$132,"&lt;1.12.2019",$H$2:$H$132,"")-SUMIFS($D$2:$D$132,$A$2:$A$132,"&lt;1.11.2019",$H$2:$H$132,"")</f>
        <v>103.4399999999996</v>
      </c>
      <c r="F147" s="261">
        <f>COUNTIFS($A$2:$A$132,"&gt;=1.11.2019",$A$2:$A$132,"&lt;=30.11.2019",$H$2:$H$132,"")</f>
        <v>5</v>
      </c>
      <c r="G147" s="260">
        <f>SUMIFS($D$2:$D$132,$A$2:$A$132,"&lt;1.12.2019",$H$2:$H$132,"e")-SUMIFS($D$2:$D$132,$A$2:$A$132,"&lt;1.11.2019",$H$2:$H$132,"e")</f>
        <v>0</v>
      </c>
      <c r="H147" s="261">
        <f>COUNTIFS($A$2:$A$132,"&gt;=1.11.2019",$A$2:$A$132,"&lt;=30.11.2019",$H$2:$H$132,"e")</f>
        <v>0</v>
      </c>
    </row>
    <row r="148" spans="2:8" x14ac:dyDescent="0.2">
      <c r="B148" s="271" t="s">
        <v>189</v>
      </c>
      <c r="C148" s="260">
        <f>SUMIFS($D$2:$D$132,$A$2:$A$132,"&lt;31.12.2019")-SUMIFS($D$2:$D$132,$A$2:$A$132,"&lt;1.12.2019")</f>
        <v>13.7199999999998</v>
      </c>
      <c r="D148" s="261">
        <f>COUNTIFS($A$2:$A$132,"&gt;=1.12.2019",$A$2:$A$132,"&lt;=31.12.2019")</f>
        <v>1</v>
      </c>
      <c r="E148" s="260">
        <f>SUMIFS($D$2:$D$132,$A$2:$A$132,"&lt;31.12.2019",$H$2:$H$132,"")-SUMIFS($D$2:$D$132,$A$2:$A$132,"&lt;1.12.2019",$H$2:$H$132,"")</f>
        <v>13.7199999999998</v>
      </c>
      <c r="F148" s="261">
        <f>COUNTIFS($A$2:$A$132,"&gt;=1.12.2019",$A$2:$A$132,"&lt;=31.12.2019",$H$2:$H$132,"")</f>
        <v>1</v>
      </c>
      <c r="G148" s="260">
        <f>SUMIFS($D$2:$D$132,$A$2:$A$132,"&lt;31.12.2019",$H$2:$H$132,"e")-SUMIFS($D$2:$D$132,$A$2:$A$132,"&lt;1.12.2019",$H$2:$H$132,"e")</f>
        <v>0</v>
      </c>
      <c r="H148" s="261">
        <f>COUNTIFS($A$2:$A$132,"&gt;=1.12.2019",$A$2:$A$132,"&lt;=31.12.2019",$H$2:$H$132,"e")</f>
        <v>0</v>
      </c>
    </row>
    <row r="149" spans="2:8" ht="13.5" thickBot="1" x14ac:dyDescent="0.25">
      <c r="B149" s="272" t="s">
        <v>90</v>
      </c>
      <c r="C149" s="262">
        <f>SUM(C137:C148)</f>
        <v>2816.1099999999979</v>
      </c>
      <c r="D149" s="263">
        <f>SUM(D137:D148)</f>
        <v>125</v>
      </c>
      <c r="E149" s="262">
        <f t="shared" ref="E149:H149" si="0">SUM(E137:E148)</f>
        <v>2313.5399999999991</v>
      </c>
      <c r="F149" s="263">
        <f t="shared" si="0"/>
        <v>95</v>
      </c>
      <c r="G149" s="262">
        <f t="shared" si="0"/>
        <v>429.97999999999996</v>
      </c>
      <c r="H149" s="264">
        <f t="shared" si="0"/>
        <v>26</v>
      </c>
    </row>
    <row r="153" spans="2:8" x14ac:dyDescent="0.2">
      <c r="B153" s="136" t="s">
        <v>195</v>
      </c>
      <c r="C153" s="33">
        <f>SUMIFS($F$2:$F$112,$G$2:$G$112,"&lt;500",H2:H112,"")/COUNTIFS($G$2:$G$112,"&lt;500",H2:H112,"")</f>
        <v>20.669473684210523</v>
      </c>
    </row>
    <row r="154" spans="2:8" x14ac:dyDescent="0.2">
      <c r="B154" s="136" t="s">
        <v>196</v>
      </c>
      <c r="C154" s="33">
        <f>SUMIFS($F$2:$F$112,$G$2:$G$112,"&gt;500",H2:H112,"",$G$2:$G$112,"&lt;1000",H2:H112,"")/COUNTIFS($G$2:$G$112,"&gt;500",H2:H112,"",$G$2:$G$112,"&lt;1000",H2:H112,"")</f>
        <v>17.8825</v>
      </c>
    </row>
    <row r="155" spans="2:8" x14ac:dyDescent="0.2">
      <c r="B155" s="136" t="s">
        <v>194</v>
      </c>
      <c r="C155" s="33">
        <f>SUMIFS($F$2:$F$112,$G$2:$G$112,"&gt;1000",H2:H112,"")/COUNTIFS($G$2:$G$112,"&gt;1000",H2:H112,"")</f>
        <v>15.395</v>
      </c>
    </row>
    <row r="156" spans="2:8" x14ac:dyDescent="0.2">
      <c r="D156" s="145"/>
    </row>
    <row r="157" spans="2:8" ht="13.5" thickBot="1" x14ac:dyDescent="0.25"/>
    <row r="158" spans="2:8" ht="15" thickBot="1" x14ac:dyDescent="0.25">
      <c r="B158" s="286" t="s">
        <v>278</v>
      </c>
      <c r="C158" s="287" t="s">
        <v>279</v>
      </c>
    </row>
    <row r="159" spans="2:8" x14ac:dyDescent="0.2">
      <c r="B159" s="281" t="s">
        <v>277</v>
      </c>
      <c r="C159" s="282">
        <f>COUNTIFS($D$2:$D$134,"&lt;10")</f>
        <v>14</v>
      </c>
    </row>
    <row r="160" spans="2:8" x14ac:dyDescent="0.2">
      <c r="B160" s="283" t="s">
        <v>274</v>
      </c>
      <c r="C160" s="280">
        <f>COUNTIFS($D$2:$D$134,"&gt;=10",$D$2:$D$134,"&lt;=20")</f>
        <v>48</v>
      </c>
    </row>
    <row r="161" spans="2:3" x14ac:dyDescent="0.2">
      <c r="B161" s="283" t="s">
        <v>266</v>
      </c>
      <c r="C161" s="280">
        <f>COUNTIFS($D$2:$D$134,"&gt;=20",$D$2:$D$134,"&lt;=30")</f>
        <v>47</v>
      </c>
    </row>
    <row r="162" spans="2:3" x14ac:dyDescent="0.2">
      <c r="B162" s="283" t="s">
        <v>268</v>
      </c>
      <c r="C162" s="280">
        <f>COUNTIFS($D$2:$D$134,"&gt;=30",$D$2:$D$134,"&lt;=40")</f>
        <v>7</v>
      </c>
    </row>
    <row r="163" spans="2:3" x14ac:dyDescent="0.2">
      <c r="B163" s="283" t="s">
        <v>267</v>
      </c>
      <c r="C163" s="280">
        <f>COUNTIFS($D$2:$D$134,"&gt;=40",$D$2:$D$134,"&lt;=50")</f>
        <v>2</v>
      </c>
    </row>
    <row r="164" spans="2:3" x14ac:dyDescent="0.2">
      <c r="B164" s="283" t="s">
        <v>269</v>
      </c>
      <c r="C164" s="280">
        <f>COUNTIFS($D$2:$D$134,"&gt;=50",$D$2:$D$134,"&lt;=60")</f>
        <v>1</v>
      </c>
    </row>
    <row r="165" spans="2:3" x14ac:dyDescent="0.2">
      <c r="B165" s="283" t="s">
        <v>270</v>
      </c>
      <c r="C165" s="280">
        <f>COUNTIFS($D$2:$D$134,"&gt;=60",$D$2:$D$134,"&lt;=70")</f>
        <v>1</v>
      </c>
    </row>
    <row r="166" spans="2:3" x14ac:dyDescent="0.2">
      <c r="B166" s="283" t="s">
        <v>271</v>
      </c>
      <c r="C166" s="280">
        <f>COUNTIFS($D$2:$D$134,"&gt;=70",$D$2:$D$134,"&lt;=80")</f>
        <v>1</v>
      </c>
    </row>
    <row r="167" spans="2:3" x14ac:dyDescent="0.2">
      <c r="B167" s="283" t="s">
        <v>272</v>
      </c>
      <c r="C167" s="280">
        <f>COUNTIFS($D$2:$D$134,"&gt;=80",$D$2:$D$134,"&lt;=90")</f>
        <v>1</v>
      </c>
    </row>
    <row r="168" spans="2:3" x14ac:dyDescent="0.2">
      <c r="B168" s="283" t="s">
        <v>273</v>
      </c>
      <c r="C168" s="280">
        <f>COUNTIFS($D$2:$D$134,"&gt;=90",$D$2:$D$134,"&lt;=100")</f>
        <v>1</v>
      </c>
    </row>
    <row r="169" spans="2:3" x14ac:dyDescent="0.2">
      <c r="B169" s="283" t="s">
        <v>275</v>
      </c>
      <c r="C169" s="280">
        <f>COUNTIFS($D$2:$D$134,"&gt;=100",$D$2:$D$134,"&lt;=110")</f>
        <v>0</v>
      </c>
    </row>
    <row r="170" spans="2:3" ht="13.5" thickBot="1" x14ac:dyDescent="0.25">
      <c r="B170" s="284" t="s">
        <v>276</v>
      </c>
      <c r="C170" s="285">
        <f>COUNTIFS($D$2:$D$134,"&gt;=110",$D$2:$D$134,"&lt;=150")</f>
        <v>2</v>
      </c>
    </row>
    <row r="171" spans="2:3" x14ac:dyDescent="0.2">
      <c r="C171" s="117">
        <f>SUM(C159:C170)</f>
        <v>125</v>
      </c>
    </row>
  </sheetData>
  <mergeCells count="6">
    <mergeCell ref="K4:N4"/>
    <mergeCell ref="C135:D135"/>
    <mergeCell ref="E135:F135"/>
    <mergeCell ref="G135:H135"/>
    <mergeCell ref="B115:B117"/>
    <mergeCell ref="B52:B55"/>
  </mergeCells>
  <pageMargins left="0.7" right="0.7" top="0.78740157499999996" bottom="0.78740157499999996" header="0.3" footer="0.3"/>
  <pageSetup paperSize="9" orientation="portrait" r:id="rId1"/>
  <ignoredErrors>
    <ignoredError sqref="G143:G145 F137" formula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50"/>
  <sheetViews>
    <sheetView topLeftCell="A13" workbookViewId="0">
      <selection activeCell="D2" sqref="D2:D34"/>
    </sheetView>
  </sheetViews>
  <sheetFormatPr defaultRowHeight="12.75" x14ac:dyDescent="0.2"/>
  <cols>
    <col min="1" max="1" width="10.140625" style="12" bestFit="1" customWidth="1"/>
    <col min="2" max="2" width="52.28515625" style="117" bestFit="1" customWidth="1"/>
    <col min="3" max="3" width="16.4257812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15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213" t="s">
        <v>144</v>
      </c>
    </row>
    <row r="2" spans="1:15" x14ac:dyDescent="0.2">
      <c r="A2" s="129">
        <v>43105</v>
      </c>
      <c r="B2" s="112" t="s">
        <v>212</v>
      </c>
      <c r="C2" s="188"/>
      <c r="D2" s="60">
        <v>12.83</v>
      </c>
      <c r="E2" s="61">
        <v>2.943287037037037E-2</v>
      </c>
      <c r="F2" s="148">
        <v>18.440000000000001</v>
      </c>
      <c r="G2" s="62">
        <v>193</v>
      </c>
      <c r="H2" t="s">
        <v>223</v>
      </c>
      <c r="I2" s="214">
        <v>650</v>
      </c>
    </row>
    <row r="3" spans="1:15" x14ac:dyDescent="0.2">
      <c r="A3" s="130">
        <v>43109</v>
      </c>
      <c r="B3" s="112" t="s">
        <v>212</v>
      </c>
      <c r="C3" s="189" t="s">
        <v>216</v>
      </c>
      <c r="D3" s="51">
        <v>12.87</v>
      </c>
      <c r="E3" s="52">
        <v>2.704861111111111E-2</v>
      </c>
      <c r="F3" s="149">
        <v>20.164999999999999</v>
      </c>
      <c r="G3" s="53">
        <v>163</v>
      </c>
      <c r="H3" t="s">
        <v>224</v>
      </c>
      <c r="I3" s="215">
        <v>235</v>
      </c>
    </row>
    <row r="4" spans="1:15" x14ac:dyDescent="0.2">
      <c r="A4" s="130">
        <v>43110</v>
      </c>
      <c r="B4" s="112" t="s">
        <v>212</v>
      </c>
      <c r="C4" s="189"/>
      <c r="D4" s="51">
        <v>12.63</v>
      </c>
      <c r="E4" s="52">
        <v>2.989583333333333E-2</v>
      </c>
      <c r="F4" s="149">
        <v>17.600000000000001</v>
      </c>
      <c r="G4" s="53">
        <v>135</v>
      </c>
      <c r="H4" t="s">
        <v>223</v>
      </c>
      <c r="I4" s="215">
        <v>2346</v>
      </c>
    </row>
    <row r="5" spans="1:15" x14ac:dyDescent="0.2">
      <c r="A5" s="130">
        <v>43124</v>
      </c>
      <c r="B5" s="112" t="s">
        <v>212</v>
      </c>
      <c r="C5" s="189"/>
      <c r="D5" s="51">
        <v>13.02</v>
      </c>
      <c r="E5" s="52">
        <v>3.0208333333333334E-2</v>
      </c>
      <c r="F5" s="149">
        <v>17.96</v>
      </c>
      <c r="G5" s="53">
        <v>138</v>
      </c>
      <c r="H5" s="32" t="s">
        <v>241</v>
      </c>
      <c r="I5" s="215">
        <v>1070</v>
      </c>
    </row>
    <row r="6" spans="1:15" x14ac:dyDescent="0.2">
      <c r="A6" s="130">
        <v>43125</v>
      </c>
      <c r="B6" s="112" t="s">
        <v>212</v>
      </c>
      <c r="C6" s="189"/>
      <c r="D6" s="51">
        <v>13.2</v>
      </c>
      <c r="E6" s="52">
        <v>3.0254629629629631E-2</v>
      </c>
      <c r="F6" s="149">
        <v>18.260000000000002</v>
      </c>
      <c r="G6" s="53">
        <v>142</v>
      </c>
      <c r="H6" s="133" t="s">
        <v>240</v>
      </c>
      <c r="I6" s="215">
        <v>1350</v>
      </c>
    </row>
    <row r="7" spans="1:15" x14ac:dyDescent="0.2">
      <c r="A7" s="130">
        <v>43130</v>
      </c>
      <c r="B7" s="112" t="s">
        <v>212</v>
      </c>
      <c r="C7" s="189"/>
      <c r="D7" s="51">
        <v>13.46</v>
      </c>
      <c r="E7" s="52">
        <v>3.125E-2</v>
      </c>
      <c r="F7" s="149">
        <v>17.95</v>
      </c>
      <c r="G7" s="53">
        <v>144</v>
      </c>
      <c r="H7" s="133" t="s">
        <v>223</v>
      </c>
      <c r="I7" s="215">
        <v>1100</v>
      </c>
    </row>
    <row r="8" spans="1:15" x14ac:dyDescent="0.2">
      <c r="A8" s="130">
        <v>43131</v>
      </c>
      <c r="B8" s="112" t="s">
        <v>212</v>
      </c>
      <c r="C8" s="189"/>
      <c r="D8" s="51">
        <v>13.41</v>
      </c>
      <c r="E8" s="52">
        <v>3.2129629629629626E-2</v>
      </c>
      <c r="F8" s="149">
        <v>17.399999999999999</v>
      </c>
      <c r="G8" s="53">
        <v>147</v>
      </c>
      <c r="I8" s="216"/>
    </row>
    <row r="9" spans="1:15" x14ac:dyDescent="0.2">
      <c r="A9" s="130">
        <v>43170</v>
      </c>
      <c r="B9" s="112" t="s">
        <v>214</v>
      </c>
      <c r="C9" s="189"/>
      <c r="D9" s="51">
        <v>35.770000000000003</v>
      </c>
      <c r="E9" s="52">
        <v>8.0949074074074076E-2</v>
      </c>
      <c r="F9" s="149">
        <v>18.41</v>
      </c>
      <c r="G9" s="53">
        <v>430</v>
      </c>
      <c r="I9" s="216"/>
    </row>
    <row r="10" spans="1:15" x14ac:dyDescent="0.2">
      <c r="A10" s="130">
        <v>43193</v>
      </c>
      <c r="B10" s="112" t="s">
        <v>212</v>
      </c>
      <c r="C10" s="189"/>
      <c r="D10" s="51">
        <v>23.74</v>
      </c>
      <c r="E10" s="52">
        <v>5.2430555555555557E-2</v>
      </c>
      <c r="F10" s="149">
        <v>18.899999999999999</v>
      </c>
      <c r="G10" s="53">
        <v>266</v>
      </c>
      <c r="I10" s="216"/>
      <c r="L10" s="186"/>
      <c r="M10" s="13"/>
      <c r="N10" s="186"/>
      <c r="O10" s="186"/>
    </row>
    <row r="11" spans="1:15" x14ac:dyDescent="0.2">
      <c r="A11" s="130">
        <v>43194</v>
      </c>
      <c r="B11" s="112" t="s">
        <v>212</v>
      </c>
      <c r="C11" s="189"/>
      <c r="D11" s="51">
        <v>17.440000000000001</v>
      </c>
      <c r="E11" s="52">
        <v>3.3090277777777781E-2</v>
      </c>
      <c r="F11" s="149">
        <v>22</v>
      </c>
      <c r="G11" s="53">
        <v>190</v>
      </c>
      <c r="I11" s="216"/>
      <c r="L11" s="194"/>
    </row>
    <row r="12" spans="1:15" x14ac:dyDescent="0.2">
      <c r="A12" s="130">
        <v>43195</v>
      </c>
      <c r="B12" s="112" t="s">
        <v>212</v>
      </c>
      <c r="C12" s="189"/>
      <c r="D12" s="51">
        <v>20.350000000000001</v>
      </c>
      <c r="E12" s="52">
        <v>4.0393518518518516E-2</v>
      </c>
      <c r="F12" s="149">
        <v>21</v>
      </c>
      <c r="G12" s="53">
        <v>198</v>
      </c>
      <c r="I12" s="216"/>
    </row>
    <row r="13" spans="1:15" x14ac:dyDescent="0.2">
      <c r="A13" s="130">
        <v>43196</v>
      </c>
      <c r="B13" s="112" t="s">
        <v>212</v>
      </c>
      <c r="C13" s="189" t="s">
        <v>213</v>
      </c>
      <c r="D13" s="51">
        <v>12.8</v>
      </c>
      <c r="E13" s="52">
        <v>2.6354166666666668E-2</v>
      </c>
      <c r="F13" s="149">
        <v>20.399999999999999</v>
      </c>
      <c r="G13" s="53">
        <v>166</v>
      </c>
      <c r="I13" s="216"/>
    </row>
    <row r="14" spans="1:15" x14ac:dyDescent="0.2">
      <c r="A14" s="130">
        <v>43200</v>
      </c>
      <c r="B14" s="112" t="s">
        <v>215</v>
      </c>
      <c r="C14" s="189"/>
      <c r="D14" s="51">
        <v>49.28</v>
      </c>
      <c r="E14" s="52">
        <v>0.10353009259259259</v>
      </c>
      <c r="F14" s="149">
        <v>19.829999999999998</v>
      </c>
      <c r="G14" s="53">
        <v>471</v>
      </c>
      <c r="I14" s="216"/>
    </row>
    <row r="15" spans="1:15" x14ac:dyDescent="0.2">
      <c r="A15" s="130">
        <v>43201</v>
      </c>
      <c r="B15" s="112" t="s">
        <v>212</v>
      </c>
      <c r="C15" s="189"/>
      <c r="D15" s="51">
        <v>21.02</v>
      </c>
      <c r="E15" s="52">
        <v>4.2604166666666665E-2</v>
      </c>
      <c r="F15" s="149">
        <v>20.56</v>
      </c>
      <c r="G15" s="53">
        <v>208</v>
      </c>
      <c r="I15" s="216"/>
      <c r="L15" s="186"/>
      <c r="N15" s="186"/>
    </row>
    <row r="16" spans="1:15" x14ac:dyDescent="0.2">
      <c r="A16" s="130">
        <v>43202</v>
      </c>
      <c r="B16" s="112" t="s">
        <v>212</v>
      </c>
      <c r="C16" s="189"/>
      <c r="D16" s="51">
        <v>20.53</v>
      </c>
      <c r="E16" s="52">
        <v>4.1956018518518517E-2</v>
      </c>
      <c r="F16" s="149">
        <v>20.39</v>
      </c>
      <c r="G16" s="53">
        <v>218</v>
      </c>
      <c r="I16" s="216"/>
    </row>
    <row r="17" spans="1:17" x14ac:dyDescent="0.2">
      <c r="A17" s="130">
        <v>43207</v>
      </c>
      <c r="B17" s="112" t="s">
        <v>212</v>
      </c>
      <c r="C17" s="189"/>
      <c r="D17" s="51">
        <v>13.4</v>
      </c>
      <c r="E17" s="52">
        <v>3.0208333333333334E-2</v>
      </c>
      <c r="F17" s="149">
        <v>18.48</v>
      </c>
      <c r="G17" s="53">
        <v>133</v>
      </c>
      <c r="H17" s="16"/>
      <c r="I17" s="216"/>
    </row>
    <row r="18" spans="1:17" x14ac:dyDescent="0.2">
      <c r="A18" s="130">
        <v>43208</v>
      </c>
      <c r="B18" s="112" t="s">
        <v>212</v>
      </c>
      <c r="C18" s="189"/>
      <c r="D18" s="51">
        <v>14.67</v>
      </c>
      <c r="E18" s="52">
        <v>3.1400462962962963E-2</v>
      </c>
      <c r="F18" s="149">
        <v>19.47</v>
      </c>
      <c r="G18" s="53">
        <v>135</v>
      </c>
      <c r="I18" s="216"/>
    </row>
    <row r="19" spans="1:17" x14ac:dyDescent="0.2">
      <c r="A19" s="130">
        <v>43209</v>
      </c>
      <c r="B19" s="112" t="s">
        <v>212</v>
      </c>
      <c r="C19" s="189"/>
      <c r="D19" s="51">
        <v>19.96</v>
      </c>
      <c r="E19" s="52">
        <v>3.7835648148148153E-2</v>
      </c>
      <c r="F19" s="149">
        <v>21.99</v>
      </c>
      <c r="G19" s="53">
        <v>204</v>
      </c>
      <c r="I19" s="216"/>
      <c r="J19" s="33"/>
    </row>
    <row r="20" spans="1:17" x14ac:dyDescent="0.2">
      <c r="A20" s="130">
        <v>43210</v>
      </c>
      <c r="B20" s="112" t="s">
        <v>212</v>
      </c>
      <c r="C20" s="189"/>
      <c r="D20" s="51">
        <v>20.07</v>
      </c>
      <c r="E20" s="52">
        <v>3.8391203703703698E-2</v>
      </c>
      <c r="F20" s="149">
        <v>21.79</v>
      </c>
      <c r="G20" s="53">
        <v>204</v>
      </c>
      <c r="I20" s="216"/>
    </row>
    <row r="21" spans="1:17" ht="15" x14ac:dyDescent="0.25">
      <c r="A21" s="121">
        <v>43215</v>
      </c>
      <c r="B21" s="113" t="s">
        <v>212</v>
      </c>
      <c r="C21" s="190"/>
      <c r="D21" s="92">
        <v>20.83</v>
      </c>
      <c r="E21" s="93">
        <v>3.9803240740740743E-2</v>
      </c>
      <c r="F21" s="98">
        <v>21.8</v>
      </c>
      <c r="G21" s="94">
        <v>207</v>
      </c>
      <c r="H21" s="95"/>
      <c r="I21" s="217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43216</v>
      </c>
      <c r="B22" s="113" t="s">
        <v>212</v>
      </c>
      <c r="C22" s="190"/>
      <c r="D22" s="92">
        <v>20.82</v>
      </c>
      <c r="E22" s="93">
        <v>3.7627314814814815E-2</v>
      </c>
      <c r="F22" s="98">
        <v>23.06</v>
      </c>
      <c r="G22" s="94">
        <v>208</v>
      </c>
      <c r="H22" s="97"/>
      <c r="I22" s="218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43219</v>
      </c>
      <c r="B23" s="113"/>
      <c r="C23" s="190"/>
      <c r="D23" s="92">
        <v>54.86</v>
      </c>
      <c r="E23" s="93">
        <v>0.10532407407407407</v>
      </c>
      <c r="F23" s="98">
        <v>21.7</v>
      </c>
      <c r="G23" s="94">
        <v>551</v>
      </c>
      <c r="H23" s="97"/>
      <c r="I23" s="218"/>
      <c r="J23" s="97"/>
      <c r="K23" s="97"/>
      <c r="L23" s="97"/>
      <c r="M23" s="97"/>
      <c r="N23" s="97"/>
      <c r="O23" s="97"/>
      <c r="P23" s="97"/>
      <c r="Q23" s="97"/>
    </row>
    <row r="24" spans="1:17" x14ac:dyDescent="0.2">
      <c r="A24" s="121">
        <v>43220</v>
      </c>
      <c r="B24" s="113" t="s">
        <v>200</v>
      </c>
      <c r="C24" s="190"/>
      <c r="D24" s="92">
        <v>36.72</v>
      </c>
      <c r="E24" s="93">
        <v>8.2442129629629629E-2</v>
      </c>
      <c r="F24" s="98">
        <v>18.559999999999999</v>
      </c>
      <c r="G24" s="94">
        <v>761</v>
      </c>
      <c r="H24" s="97"/>
      <c r="I24" s="218"/>
      <c r="K24" s="97"/>
      <c r="M24" s="97"/>
      <c r="O24" s="97"/>
      <c r="Q24" s="97"/>
    </row>
    <row r="25" spans="1:17" x14ac:dyDescent="0.2">
      <c r="A25" s="121">
        <v>43223</v>
      </c>
      <c r="B25" s="113" t="s">
        <v>217</v>
      </c>
      <c r="C25" s="190"/>
      <c r="D25" s="92">
        <v>40.25</v>
      </c>
      <c r="E25" s="93">
        <v>7.9120370370370369E-2</v>
      </c>
      <c r="F25" s="98">
        <v>21.19</v>
      </c>
      <c r="G25" s="94">
        <v>460</v>
      </c>
      <c r="I25" s="218" t="s">
        <v>220</v>
      </c>
      <c r="K25" s="97"/>
      <c r="M25" s="97"/>
      <c r="O25" s="97"/>
      <c r="Q25" s="97"/>
    </row>
    <row r="26" spans="1:17" x14ac:dyDescent="0.2">
      <c r="A26" s="121">
        <v>43228</v>
      </c>
      <c r="B26" s="113" t="s">
        <v>218</v>
      </c>
      <c r="C26" s="190"/>
      <c r="D26" s="92">
        <v>21.61</v>
      </c>
      <c r="E26" s="93">
        <v>4.0810185185185185E-2</v>
      </c>
      <c r="F26" s="98">
        <v>22.07</v>
      </c>
      <c r="G26" s="94">
        <v>132</v>
      </c>
      <c r="H26" s="119"/>
      <c r="I26" s="218"/>
      <c r="J26" s="97"/>
      <c r="K26" s="97"/>
      <c r="L26" s="97"/>
      <c r="M26" s="97"/>
      <c r="N26" s="97"/>
      <c r="O26" s="97"/>
      <c r="P26" s="97"/>
      <c r="Q26" s="97"/>
    </row>
    <row r="27" spans="1:17" x14ac:dyDescent="0.2">
      <c r="A27" s="120">
        <v>43231</v>
      </c>
      <c r="B27" s="113" t="s">
        <v>212</v>
      </c>
      <c r="C27" s="190"/>
      <c r="D27" s="92">
        <v>20.29</v>
      </c>
      <c r="E27" s="93">
        <v>4.0474537037037038E-2</v>
      </c>
      <c r="F27" s="98">
        <v>20.89</v>
      </c>
      <c r="G27" s="94">
        <v>205</v>
      </c>
      <c r="I27" s="218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43234</v>
      </c>
      <c r="B28" s="113" t="s">
        <v>212</v>
      </c>
      <c r="C28" s="190"/>
      <c r="D28" s="92">
        <v>20.53</v>
      </c>
      <c r="E28" s="93">
        <v>3.888888888888889E-2</v>
      </c>
      <c r="F28" s="98">
        <v>22</v>
      </c>
      <c r="G28" s="94">
        <v>201</v>
      </c>
      <c r="H28" s="88"/>
      <c r="I28" s="218"/>
      <c r="J28" s="97"/>
      <c r="K28" s="97"/>
      <c r="L28" s="97"/>
      <c r="M28" s="97"/>
      <c r="N28" s="97"/>
      <c r="O28" s="97"/>
      <c r="P28" s="97"/>
      <c r="Q28" s="97"/>
    </row>
    <row r="29" spans="1:17" ht="13.5" thickBot="1" x14ac:dyDescent="0.25">
      <c r="A29" s="120">
        <v>43235</v>
      </c>
      <c r="B29" s="113" t="s">
        <v>212</v>
      </c>
      <c r="C29" s="190"/>
      <c r="D29" s="92">
        <v>20.6</v>
      </c>
      <c r="E29" s="93">
        <v>4.0474537037037038E-2</v>
      </c>
      <c r="F29" s="98">
        <v>21.21</v>
      </c>
      <c r="G29" s="94">
        <v>194</v>
      </c>
      <c r="H29" s="88"/>
      <c r="I29" s="219"/>
      <c r="K29" s="97"/>
      <c r="M29" s="97"/>
      <c r="O29" s="97"/>
      <c r="Q29" s="97"/>
    </row>
    <row r="30" spans="1:17" x14ac:dyDescent="0.2">
      <c r="A30" s="120">
        <v>43242</v>
      </c>
      <c r="B30" s="114"/>
      <c r="C30" s="190"/>
      <c r="D30" s="92">
        <v>40.36</v>
      </c>
      <c r="E30" s="93">
        <v>7.2291666666666657E-2</v>
      </c>
      <c r="F30" s="98">
        <v>23.26</v>
      </c>
      <c r="G30" s="94">
        <v>260</v>
      </c>
      <c r="H30" s="97"/>
      <c r="I30" s="97"/>
      <c r="K30" s="97"/>
      <c r="M30" s="97"/>
      <c r="O30" s="97"/>
      <c r="Q30" s="97"/>
    </row>
    <row r="31" spans="1:17" x14ac:dyDescent="0.2">
      <c r="A31" s="120">
        <v>43245</v>
      </c>
      <c r="B31" s="114"/>
      <c r="C31" s="190"/>
      <c r="D31" s="92">
        <v>20.11</v>
      </c>
      <c r="E31" s="93">
        <v>3.9687500000000001E-2</v>
      </c>
      <c r="F31" s="98">
        <v>21.11</v>
      </c>
      <c r="G31" s="94">
        <v>203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0">
        <v>43255</v>
      </c>
      <c r="B32" s="114"/>
      <c r="C32" s="190"/>
      <c r="D32" s="92">
        <v>17.43</v>
      </c>
      <c r="E32" s="93">
        <v>3.7766203703703705E-2</v>
      </c>
      <c r="F32" s="98">
        <v>19.23</v>
      </c>
      <c r="G32" s="94">
        <v>155</v>
      </c>
      <c r="I32" s="97"/>
      <c r="J32" s="97"/>
      <c r="K32" s="184"/>
      <c r="L32" s="184"/>
      <c r="M32" s="36"/>
      <c r="N32" s="36"/>
      <c r="O32" s="184"/>
      <c r="P32" s="90"/>
      <c r="Q32" s="36"/>
    </row>
    <row r="33" spans="1:17" x14ac:dyDescent="0.2">
      <c r="A33" s="120">
        <v>43256</v>
      </c>
      <c r="B33" s="114"/>
      <c r="C33" s="190"/>
      <c r="D33" s="92">
        <v>54.53</v>
      </c>
      <c r="E33" s="93">
        <v>0.11706018518518518</v>
      </c>
      <c r="F33" s="98">
        <v>19.41</v>
      </c>
      <c r="G33" s="94">
        <v>482</v>
      </c>
      <c r="H33" s="88"/>
      <c r="I33" s="97"/>
      <c r="J33" s="97"/>
      <c r="K33" s="184"/>
      <c r="L33" s="184"/>
      <c r="M33" s="36"/>
      <c r="N33" s="36"/>
      <c r="O33" s="185"/>
      <c r="P33" s="36"/>
      <c r="Q33" s="36"/>
    </row>
    <row r="34" spans="1:17" x14ac:dyDescent="0.2">
      <c r="A34" s="120">
        <v>43258</v>
      </c>
      <c r="B34" s="114"/>
      <c r="C34" s="190"/>
      <c r="D34" s="92">
        <v>20.82</v>
      </c>
      <c r="E34" s="93">
        <v>4.1134259259259259E-2</v>
      </c>
      <c r="F34" s="98">
        <v>21.09</v>
      </c>
      <c r="G34" s="94">
        <v>201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ht="15" x14ac:dyDescent="0.2">
      <c r="A35" s="131">
        <v>43260</v>
      </c>
      <c r="B35" s="67" t="s">
        <v>222</v>
      </c>
      <c r="C35" s="118" t="s">
        <v>221</v>
      </c>
      <c r="D35" s="67">
        <v>82.04</v>
      </c>
      <c r="E35" s="68">
        <v>0.19612268518518516</v>
      </c>
      <c r="F35" s="150">
        <v>17.43</v>
      </c>
      <c r="G35" s="69">
        <v>1456</v>
      </c>
      <c r="I35" s="97"/>
      <c r="J35" s="97"/>
      <c r="K35" s="184"/>
      <c r="L35" s="184"/>
      <c r="M35" s="36"/>
      <c r="N35" s="36"/>
      <c r="O35" s="36"/>
      <c r="P35" s="36"/>
      <c r="Q35" s="36"/>
    </row>
    <row r="36" spans="1:17" x14ac:dyDescent="0.2">
      <c r="A36" s="120">
        <v>43261</v>
      </c>
      <c r="B36" s="114"/>
      <c r="C36" s="190"/>
      <c r="D36" s="92">
        <v>60.82</v>
      </c>
      <c r="E36" s="93">
        <v>0.15306712962962962</v>
      </c>
      <c r="F36" s="98">
        <v>16.55</v>
      </c>
      <c r="G36" s="94">
        <v>1023</v>
      </c>
      <c r="H36" s="88"/>
      <c r="I36" s="97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0">
        <v>43266</v>
      </c>
      <c r="B37" s="114"/>
      <c r="C37" s="190"/>
      <c r="D37" s="92">
        <v>17.649999999999999</v>
      </c>
      <c r="E37" s="93">
        <v>3.4398148148148143E-2</v>
      </c>
      <c r="F37" s="98">
        <v>21.38</v>
      </c>
      <c r="G37" s="94">
        <v>160</v>
      </c>
      <c r="H37" s="97"/>
      <c r="I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43269</v>
      </c>
      <c r="B38" s="113"/>
      <c r="C38" s="190"/>
      <c r="D38" s="92">
        <v>17.77</v>
      </c>
      <c r="E38" s="93">
        <v>3.4131944444444444E-2</v>
      </c>
      <c r="F38" s="98">
        <v>21.7</v>
      </c>
      <c r="G38" s="94">
        <v>153</v>
      </c>
      <c r="H38" s="97"/>
      <c r="I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43270</v>
      </c>
      <c r="B39" s="114"/>
      <c r="C39" s="190"/>
      <c r="D39" s="92">
        <v>20.54</v>
      </c>
      <c r="E39" s="93">
        <v>3.9189814814814809E-2</v>
      </c>
      <c r="F39" s="98">
        <v>21.84</v>
      </c>
      <c r="G39" s="94">
        <v>197</v>
      </c>
      <c r="H39" s="97"/>
      <c r="I39" s="97"/>
      <c r="J39" s="97"/>
    </row>
    <row r="40" spans="1:17" x14ac:dyDescent="0.2">
      <c r="A40" s="121">
        <v>43272</v>
      </c>
      <c r="B40" s="114"/>
      <c r="C40" s="190"/>
      <c r="D40" s="92">
        <v>39.31</v>
      </c>
      <c r="E40" s="93">
        <v>7.9247685185185185E-2</v>
      </c>
      <c r="F40" s="98">
        <v>20.66</v>
      </c>
      <c r="G40" s="94">
        <v>465</v>
      </c>
      <c r="H40" s="97"/>
      <c r="I40" s="97"/>
      <c r="J40" s="97"/>
    </row>
    <row r="41" spans="1:17" x14ac:dyDescent="0.2">
      <c r="A41" s="121">
        <v>43276</v>
      </c>
      <c r="B41" s="114"/>
      <c r="C41" s="190"/>
      <c r="D41" s="92">
        <v>15</v>
      </c>
      <c r="E41" s="93">
        <v>3.2928240740740737E-2</v>
      </c>
      <c r="F41" s="98">
        <v>18.98</v>
      </c>
      <c r="G41" s="94">
        <v>133</v>
      </c>
      <c r="H41" s="97"/>
      <c r="I41" s="97"/>
      <c r="J41" s="97"/>
    </row>
    <row r="42" spans="1:17" x14ac:dyDescent="0.2">
      <c r="A42" s="121">
        <v>43277</v>
      </c>
      <c r="B42" s="114"/>
      <c r="C42" s="190"/>
      <c r="D42" s="92">
        <v>13.75</v>
      </c>
      <c r="E42" s="93">
        <v>3.1631944444444442E-2</v>
      </c>
      <c r="F42" s="98">
        <v>18.12</v>
      </c>
      <c r="G42" s="94">
        <v>131</v>
      </c>
      <c r="H42" s="97"/>
      <c r="I42" s="97"/>
      <c r="J42" s="97"/>
    </row>
    <row r="43" spans="1:17" x14ac:dyDescent="0.2">
      <c r="A43" s="121">
        <v>43278</v>
      </c>
      <c r="B43" s="113"/>
      <c r="C43" s="190"/>
      <c r="D43" s="92">
        <v>17.5</v>
      </c>
      <c r="E43" s="93">
        <v>3.6527777777777777E-2</v>
      </c>
      <c r="F43" s="98">
        <v>19.98</v>
      </c>
      <c r="G43" s="94">
        <v>154</v>
      </c>
      <c r="H43" s="97"/>
      <c r="I43" s="97"/>
      <c r="J43" s="97"/>
    </row>
    <row r="44" spans="1:17" ht="15" x14ac:dyDescent="0.25">
      <c r="A44" s="121">
        <v>43279</v>
      </c>
      <c r="B44" s="113"/>
      <c r="C44" s="190"/>
      <c r="D44" s="92">
        <v>17.77</v>
      </c>
      <c r="E44" s="93">
        <v>3.5416666666666666E-2</v>
      </c>
      <c r="F44" s="98">
        <v>20.58</v>
      </c>
      <c r="G44" s="94">
        <v>155</v>
      </c>
      <c r="H44" s="95"/>
      <c r="I44" s="96"/>
      <c r="J44" s="97"/>
    </row>
    <row r="45" spans="1:17" x14ac:dyDescent="0.2">
      <c r="A45" s="123">
        <v>43285</v>
      </c>
      <c r="B45" s="123" t="s">
        <v>238</v>
      </c>
      <c r="C45" s="124"/>
      <c r="D45" s="125">
        <v>29.51</v>
      </c>
      <c r="E45" s="126">
        <v>8.0497685185185186E-2</v>
      </c>
      <c r="F45" s="151">
        <v>15.27</v>
      </c>
      <c r="G45" s="132">
        <v>213</v>
      </c>
      <c r="H45" s="97"/>
      <c r="I45" s="97"/>
      <c r="J45" s="97"/>
    </row>
    <row r="46" spans="1:17" x14ac:dyDescent="0.2">
      <c r="A46" s="123">
        <v>43286</v>
      </c>
      <c r="B46" s="123" t="s">
        <v>234</v>
      </c>
      <c r="C46" s="124"/>
      <c r="D46" s="125">
        <v>77.91</v>
      </c>
      <c r="E46" s="126">
        <v>0.21957175925925929</v>
      </c>
      <c r="F46" s="151">
        <v>14.78</v>
      </c>
      <c r="G46" s="132">
        <v>1418</v>
      </c>
      <c r="H46" s="97"/>
      <c r="I46" s="249"/>
      <c r="J46" s="97"/>
      <c r="N46" s="13"/>
    </row>
    <row r="47" spans="1:17" ht="15" x14ac:dyDescent="0.25">
      <c r="A47" s="123">
        <v>43287</v>
      </c>
      <c r="B47" s="123" t="s">
        <v>235</v>
      </c>
      <c r="C47" s="124"/>
      <c r="D47" s="125">
        <v>93.03</v>
      </c>
      <c r="E47" s="128">
        <v>0.2537962962962963</v>
      </c>
      <c r="F47" s="151">
        <v>15.27</v>
      </c>
      <c r="G47" s="132">
        <v>1477</v>
      </c>
      <c r="H47" s="95"/>
      <c r="I47" s="96"/>
      <c r="J47" s="97"/>
    </row>
    <row r="48" spans="1:17" x14ac:dyDescent="0.2">
      <c r="A48" s="123">
        <v>43288</v>
      </c>
      <c r="B48" s="123" t="s">
        <v>236</v>
      </c>
      <c r="C48" s="124"/>
      <c r="D48" s="125">
        <v>89.99</v>
      </c>
      <c r="E48" s="126">
        <v>0.23305555555555557</v>
      </c>
      <c r="F48" s="151">
        <v>16.079999999999998</v>
      </c>
      <c r="G48" s="132">
        <v>983</v>
      </c>
      <c r="H48" s="97"/>
      <c r="I48" s="97"/>
      <c r="J48" s="97"/>
    </row>
    <row r="49" spans="1:10" x14ac:dyDescent="0.2">
      <c r="A49" s="123">
        <v>43289</v>
      </c>
      <c r="B49" s="123" t="s">
        <v>237</v>
      </c>
      <c r="C49" s="124"/>
      <c r="D49" s="125">
        <v>131.75</v>
      </c>
      <c r="E49" s="126">
        <v>0.31946759259259255</v>
      </c>
      <c r="F49" s="151">
        <v>17.18</v>
      </c>
      <c r="G49" s="132">
        <v>1573</v>
      </c>
      <c r="H49" s="97"/>
      <c r="I49" s="97"/>
      <c r="J49" s="97"/>
    </row>
    <row r="50" spans="1:10" ht="13.5" thickBot="1" x14ac:dyDescent="0.25">
      <c r="A50" s="206">
        <v>43294</v>
      </c>
      <c r="B50" s="207"/>
      <c r="C50" s="208"/>
      <c r="D50" s="209">
        <v>8.36</v>
      </c>
      <c r="E50" s="210">
        <v>1.6828703703703703E-2</v>
      </c>
      <c r="F50" s="211">
        <v>20.71</v>
      </c>
      <c r="G50" s="212">
        <v>21</v>
      </c>
      <c r="H50" s="240"/>
      <c r="I50" s="100"/>
      <c r="J50" s="97"/>
    </row>
    <row r="51" spans="1:10" x14ac:dyDescent="0.2">
      <c r="A51" s="137">
        <v>43305</v>
      </c>
      <c r="B51" s="191"/>
      <c r="C51" s="92"/>
      <c r="D51" s="92">
        <v>20.49</v>
      </c>
      <c r="E51" s="93">
        <v>3.9791666666666663E-2</v>
      </c>
      <c r="F51" s="98">
        <v>21.46</v>
      </c>
      <c r="G51" s="94">
        <v>196</v>
      </c>
      <c r="H51" s="119"/>
      <c r="I51" s="97"/>
      <c r="J51" s="97"/>
    </row>
    <row r="52" spans="1:10" x14ac:dyDescent="0.2">
      <c r="A52" s="137">
        <v>43306</v>
      </c>
      <c r="B52" s="220"/>
      <c r="C52" s="221"/>
      <c r="D52" s="204">
        <v>19.91</v>
      </c>
      <c r="E52" s="205">
        <v>3.7974537037037036E-2</v>
      </c>
      <c r="F52" s="146">
        <v>21.86</v>
      </c>
      <c r="G52" s="143">
        <v>194</v>
      </c>
      <c r="H52" s="88"/>
      <c r="I52" s="97"/>
      <c r="J52" s="134"/>
    </row>
    <row r="53" spans="1:10" x14ac:dyDescent="0.2">
      <c r="A53" s="137">
        <v>43307</v>
      </c>
      <c r="B53" s="191"/>
      <c r="C53" s="92"/>
      <c r="D53" s="92">
        <v>41.86</v>
      </c>
      <c r="E53" s="93">
        <v>9.6296296296296283E-2</v>
      </c>
      <c r="F53" s="98">
        <v>18.11</v>
      </c>
      <c r="G53" s="94">
        <v>378</v>
      </c>
      <c r="H53" s="88"/>
      <c r="I53" s="97"/>
      <c r="J53" s="97"/>
    </row>
    <row r="54" spans="1:10" x14ac:dyDescent="0.2">
      <c r="A54" s="137">
        <v>43308</v>
      </c>
      <c r="B54" s="191"/>
      <c r="C54" s="92"/>
      <c r="D54" s="92">
        <v>26.83</v>
      </c>
      <c r="E54" s="93">
        <v>5.0868055555555548E-2</v>
      </c>
      <c r="F54" s="98" t="s">
        <v>239</v>
      </c>
      <c r="G54" s="94">
        <v>263</v>
      </c>
      <c r="H54" s="97"/>
      <c r="J54" s="97"/>
    </row>
    <row r="55" spans="1:10" x14ac:dyDescent="0.2">
      <c r="A55" s="137">
        <v>43311</v>
      </c>
      <c r="B55" s="191"/>
      <c r="C55" s="92"/>
      <c r="D55" s="92">
        <v>20.37</v>
      </c>
      <c r="E55" s="93">
        <v>4.0798611111111112E-2</v>
      </c>
      <c r="F55" s="98">
        <v>20.8</v>
      </c>
      <c r="G55" s="94">
        <v>198</v>
      </c>
      <c r="H55" s="97"/>
      <c r="I55" s="97"/>
      <c r="J55" s="97"/>
    </row>
    <row r="56" spans="1:10" ht="13.5" thickBot="1" x14ac:dyDescent="0.25">
      <c r="A56" s="229">
        <v>43312</v>
      </c>
      <c r="B56" s="222"/>
      <c r="C56" s="223"/>
      <c r="D56" s="223">
        <v>30.67</v>
      </c>
      <c r="E56" s="224">
        <v>5.9918981481481483E-2</v>
      </c>
      <c r="F56" s="225">
        <v>21.33</v>
      </c>
      <c r="G56" s="226">
        <v>284</v>
      </c>
      <c r="H56" s="227"/>
      <c r="I56" s="97"/>
      <c r="J56" s="97"/>
    </row>
    <row r="57" spans="1:10" x14ac:dyDescent="0.2">
      <c r="A57" s="230">
        <v>43314</v>
      </c>
      <c r="B57" s="221"/>
      <c r="C57" s="204"/>
      <c r="D57" s="146">
        <v>102.7</v>
      </c>
      <c r="E57" s="228">
        <v>0.18185185185185185</v>
      </c>
      <c r="F57" s="146">
        <v>23.53</v>
      </c>
      <c r="G57" s="143">
        <v>424</v>
      </c>
      <c r="H57" s="97"/>
      <c r="I57" s="97"/>
      <c r="J57" s="134"/>
    </row>
    <row r="58" spans="1:10" x14ac:dyDescent="0.2">
      <c r="A58" s="137">
        <v>43315</v>
      </c>
      <c r="B58" s="191"/>
      <c r="C58" s="92"/>
      <c r="D58" s="98">
        <v>21.73</v>
      </c>
      <c r="E58" s="231">
        <v>4.297453703703704E-2</v>
      </c>
      <c r="F58" s="98">
        <v>21.04</v>
      </c>
      <c r="G58" s="94">
        <v>203</v>
      </c>
      <c r="H58" s="97"/>
      <c r="I58" s="97"/>
      <c r="J58" s="97"/>
    </row>
    <row r="59" spans="1:10" x14ac:dyDescent="0.2">
      <c r="A59" s="137">
        <v>43318</v>
      </c>
      <c r="B59" s="191"/>
      <c r="C59" s="92"/>
      <c r="D59" s="98">
        <v>20.58</v>
      </c>
      <c r="E59" s="231">
        <v>4.0520833333333332E-2</v>
      </c>
      <c r="F59" s="98">
        <v>21.16</v>
      </c>
      <c r="G59" s="94">
        <v>198</v>
      </c>
      <c r="H59" s="97"/>
      <c r="I59" s="97"/>
      <c r="J59" s="97"/>
    </row>
    <row r="60" spans="1:10" x14ac:dyDescent="0.2">
      <c r="A60" s="137">
        <v>43320</v>
      </c>
      <c r="B60" s="191"/>
      <c r="C60" s="92"/>
      <c r="D60" s="98">
        <v>47.8</v>
      </c>
      <c r="E60" s="231">
        <v>9.6296296296296283E-2</v>
      </c>
      <c r="F60" s="98">
        <v>20.68</v>
      </c>
      <c r="G60" s="94">
        <v>476</v>
      </c>
      <c r="H60" s="97"/>
      <c r="I60" s="97"/>
      <c r="J60" s="97"/>
    </row>
    <row r="61" spans="1:10" x14ac:dyDescent="0.2">
      <c r="A61" s="137">
        <v>43322</v>
      </c>
      <c r="B61" s="135"/>
      <c r="C61" s="189"/>
      <c r="D61" s="98">
        <v>18.22</v>
      </c>
      <c r="E61" s="231">
        <v>3.622685185185185E-2</v>
      </c>
      <c r="F61" s="98">
        <v>20.96</v>
      </c>
      <c r="G61" s="94">
        <v>153</v>
      </c>
    </row>
    <row r="62" spans="1:10" x14ac:dyDescent="0.2">
      <c r="A62" s="121">
        <v>43325</v>
      </c>
      <c r="B62" s="115"/>
      <c r="C62" s="192"/>
      <c r="D62" s="98">
        <v>19.84</v>
      </c>
      <c r="E62" s="231">
        <v>3.7048611111111109E-2</v>
      </c>
      <c r="F62" s="98">
        <v>22.32</v>
      </c>
      <c r="G62" s="94">
        <v>183</v>
      </c>
    </row>
    <row r="63" spans="1:10" x14ac:dyDescent="0.2">
      <c r="A63" s="121">
        <v>43326</v>
      </c>
      <c r="B63" s="153"/>
      <c r="C63" s="192"/>
      <c r="D63" s="98">
        <v>22.25</v>
      </c>
      <c r="E63" s="231">
        <v>4.221064814814815E-2</v>
      </c>
      <c r="F63" s="98">
        <v>21.96</v>
      </c>
      <c r="G63" s="94">
        <v>197</v>
      </c>
    </row>
    <row r="64" spans="1:10" x14ac:dyDescent="0.2">
      <c r="A64" s="121">
        <v>43327</v>
      </c>
      <c r="B64" s="153"/>
      <c r="C64" s="192"/>
      <c r="D64" s="98">
        <v>21.01</v>
      </c>
      <c r="E64" s="231">
        <v>4.2083333333333334E-2</v>
      </c>
      <c r="F64" s="98">
        <v>20.8</v>
      </c>
      <c r="G64" s="94">
        <v>201</v>
      </c>
    </row>
    <row r="65" spans="1:8" x14ac:dyDescent="0.2">
      <c r="A65" s="121">
        <v>43328</v>
      </c>
      <c r="B65" s="115"/>
      <c r="C65" s="192"/>
      <c r="D65" s="98">
        <v>20.77</v>
      </c>
      <c r="E65" s="231">
        <v>3.9548611111111111E-2</v>
      </c>
      <c r="F65" s="98">
        <v>21.88</v>
      </c>
      <c r="G65" s="94">
        <v>200</v>
      </c>
    </row>
    <row r="66" spans="1:8" x14ac:dyDescent="0.2">
      <c r="A66" s="121">
        <v>43329</v>
      </c>
      <c r="B66" s="153"/>
      <c r="C66" s="192"/>
      <c r="D66" s="98">
        <v>24.87</v>
      </c>
      <c r="E66" s="231">
        <v>5.6435185185185179E-2</v>
      </c>
      <c r="F66" s="98">
        <v>18.36</v>
      </c>
      <c r="G66" s="94">
        <v>265</v>
      </c>
    </row>
    <row r="67" spans="1:8" ht="13.5" thickBot="1" x14ac:dyDescent="0.25">
      <c r="A67" s="235">
        <v>43332</v>
      </c>
      <c r="B67" s="236"/>
      <c r="C67" s="237"/>
      <c r="D67" s="225">
        <v>21.01</v>
      </c>
      <c r="E67" s="238">
        <v>4.0613425925925928E-2</v>
      </c>
      <c r="F67" s="225">
        <v>21.56</v>
      </c>
      <c r="G67" s="226">
        <v>195</v>
      </c>
      <c r="H67" s="239"/>
    </row>
    <row r="68" spans="1:8" x14ac:dyDescent="0.2">
      <c r="A68" s="232">
        <v>43333</v>
      </c>
      <c r="B68" s="233"/>
      <c r="C68" s="234"/>
      <c r="D68" s="146">
        <v>24.02</v>
      </c>
      <c r="E68" s="228">
        <v>5.2719907407407403E-2</v>
      </c>
      <c r="F68" s="146">
        <v>18.98</v>
      </c>
      <c r="G68" s="143">
        <v>207</v>
      </c>
    </row>
    <row r="69" spans="1:8" x14ac:dyDescent="0.2">
      <c r="A69" s="230">
        <v>43334</v>
      </c>
      <c r="B69" s="221"/>
      <c r="C69" s="204"/>
      <c r="D69" s="146">
        <v>20.3</v>
      </c>
      <c r="E69" s="228">
        <v>3.8634259259259257E-2</v>
      </c>
      <c r="F69" s="146">
        <v>21.9</v>
      </c>
      <c r="G69" s="143">
        <v>200</v>
      </c>
      <c r="H69" s="97"/>
    </row>
    <row r="70" spans="1:8" x14ac:dyDescent="0.2">
      <c r="A70" s="121">
        <v>43335</v>
      </c>
      <c r="B70" s="115"/>
      <c r="C70" s="192"/>
      <c r="D70" s="98">
        <v>36.450000000000003</v>
      </c>
      <c r="E70" s="231">
        <v>7.3472222222222217E-2</v>
      </c>
      <c r="F70" s="98">
        <v>21.07</v>
      </c>
      <c r="G70" s="94">
        <v>187</v>
      </c>
    </row>
    <row r="71" spans="1:8" x14ac:dyDescent="0.2">
      <c r="A71" s="121">
        <v>43336</v>
      </c>
      <c r="B71" s="115"/>
      <c r="C71" s="192"/>
      <c r="D71" s="98">
        <v>13.89</v>
      </c>
      <c r="E71" s="231">
        <v>3.0682870370370371E-2</v>
      </c>
      <c r="F71" s="98">
        <v>18.86</v>
      </c>
      <c r="G71" s="94">
        <v>131</v>
      </c>
    </row>
    <row r="72" spans="1:8" x14ac:dyDescent="0.2">
      <c r="A72" s="121">
        <v>43339</v>
      </c>
      <c r="B72" s="115"/>
      <c r="C72" s="192"/>
      <c r="D72" s="98">
        <v>20.98</v>
      </c>
      <c r="E72" s="231">
        <v>4.1203703703703708E-2</v>
      </c>
      <c r="F72" s="98">
        <v>21.21</v>
      </c>
      <c r="G72" s="94">
        <v>204</v>
      </c>
    </row>
    <row r="73" spans="1:8" x14ac:dyDescent="0.2">
      <c r="A73" s="121">
        <v>43340</v>
      </c>
      <c r="B73" s="115"/>
      <c r="C73" s="192"/>
      <c r="D73" s="98">
        <v>20.82</v>
      </c>
      <c r="E73" s="231">
        <v>4.1504629629629627E-2</v>
      </c>
      <c r="F73" s="98">
        <v>20.9</v>
      </c>
      <c r="G73" s="94">
        <v>201</v>
      </c>
    </row>
    <row r="74" spans="1:8" x14ac:dyDescent="0.2">
      <c r="A74" s="121">
        <v>43341</v>
      </c>
      <c r="B74" s="115"/>
      <c r="C74" s="192"/>
      <c r="D74" s="98">
        <v>21.12</v>
      </c>
      <c r="E74" s="231">
        <v>4.1180555555555554E-2</v>
      </c>
      <c r="F74" s="98">
        <v>21.37</v>
      </c>
      <c r="G74" s="94">
        <v>204</v>
      </c>
    </row>
    <row r="75" spans="1:8" x14ac:dyDescent="0.2">
      <c r="A75" s="121">
        <v>43347</v>
      </c>
      <c r="B75" s="115"/>
      <c r="C75" s="192"/>
      <c r="D75" s="98">
        <v>34.799999999999997</v>
      </c>
      <c r="E75" s="231">
        <v>7.3958333333333334E-2</v>
      </c>
      <c r="F75" s="98">
        <v>19.600000000000001</v>
      </c>
      <c r="G75" s="94">
        <v>419</v>
      </c>
    </row>
    <row r="76" spans="1:8" x14ac:dyDescent="0.2">
      <c r="A76" s="121">
        <v>43348</v>
      </c>
      <c r="B76" s="115"/>
      <c r="C76" s="192"/>
      <c r="D76" s="98">
        <v>21.69</v>
      </c>
      <c r="E76" s="231">
        <v>4.1412037037037039E-2</v>
      </c>
      <c r="F76" s="98">
        <v>21.82</v>
      </c>
      <c r="G76" s="94">
        <v>202</v>
      </c>
    </row>
    <row r="77" spans="1:8" x14ac:dyDescent="0.2">
      <c r="A77" s="121">
        <v>43349</v>
      </c>
      <c r="B77" s="115"/>
      <c r="C77" s="192"/>
      <c r="D77" s="98">
        <v>21.03</v>
      </c>
      <c r="E77" s="231">
        <v>4.0034722222222222E-2</v>
      </c>
      <c r="F77" s="98">
        <v>21.89</v>
      </c>
      <c r="G77" s="94">
        <v>199</v>
      </c>
    </row>
    <row r="78" spans="1:8" x14ac:dyDescent="0.2">
      <c r="A78" s="121">
        <v>43350</v>
      </c>
      <c r="B78" s="115"/>
      <c r="C78" s="192"/>
      <c r="D78" s="98">
        <v>37.79</v>
      </c>
      <c r="E78" s="231">
        <v>7.0891203703703706E-2</v>
      </c>
      <c r="F78" s="98">
        <v>22.21</v>
      </c>
      <c r="G78" s="94">
        <v>366</v>
      </c>
    </row>
    <row r="79" spans="1:8" x14ac:dyDescent="0.2">
      <c r="A79" s="121">
        <v>43353</v>
      </c>
      <c r="B79" s="115"/>
      <c r="C79" s="192"/>
      <c r="D79" s="98">
        <v>14.02</v>
      </c>
      <c r="E79" s="231">
        <v>2.9201388888888888E-2</v>
      </c>
      <c r="F79" s="98">
        <v>20.010000000000002</v>
      </c>
      <c r="G79" s="94">
        <v>129</v>
      </c>
    </row>
    <row r="80" spans="1:8" ht="13.5" thickBot="1" x14ac:dyDescent="0.25">
      <c r="A80" s="206">
        <v>43354</v>
      </c>
      <c r="B80" s="207"/>
      <c r="C80" s="208"/>
      <c r="D80" s="209">
        <v>26.78</v>
      </c>
      <c r="E80" s="210">
        <v>5.0532407407407408E-2</v>
      </c>
      <c r="F80" s="211">
        <v>22.09</v>
      </c>
      <c r="G80" s="212">
        <v>123</v>
      </c>
      <c r="H80" s="240"/>
    </row>
    <row r="81" spans="1:14" x14ac:dyDescent="0.2">
      <c r="A81" s="137">
        <v>43359</v>
      </c>
      <c r="B81" s="191"/>
      <c r="C81" s="92"/>
      <c r="D81" s="92">
        <v>23.91</v>
      </c>
      <c r="E81" s="93">
        <v>4.6817129629629632E-2</v>
      </c>
      <c r="F81" s="98">
        <v>21.28</v>
      </c>
      <c r="G81" s="94">
        <v>145</v>
      </c>
      <c r="H81" s="119"/>
    </row>
    <row r="82" spans="1:14" ht="15" x14ac:dyDescent="0.2">
      <c r="A82" s="131">
        <v>43359</v>
      </c>
      <c r="B82" s="67" t="s">
        <v>242</v>
      </c>
      <c r="C82" s="118">
        <v>35</v>
      </c>
      <c r="D82" s="67">
        <v>20.9</v>
      </c>
      <c r="E82" s="68">
        <v>4.1215277777777774E-2</v>
      </c>
      <c r="F82" s="150">
        <v>21.14</v>
      </c>
      <c r="G82" s="69">
        <v>355</v>
      </c>
    </row>
    <row r="83" spans="1:14" x14ac:dyDescent="0.2">
      <c r="A83" s="121">
        <v>43359</v>
      </c>
      <c r="B83" s="153"/>
      <c r="C83" s="192"/>
      <c r="D83" s="98">
        <v>22.73</v>
      </c>
      <c r="E83" s="231">
        <v>3.8738425925925926E-2</v>
      </c>
      <c r="F83" s="98">
        <v>24.45</v>
      </c>
      <c r="G83" s="94">
        <v>155</v>
      </c>
    </row>
    <row r="84" spans="1:14" x14ac:dyDescent="0.2">
      <c r="A84" s="121">
        <v>43361</v>
      </c>
      <c r="B84" s="115"/>
      <c r="C84" s="192"/>
      <c r="D84" s="98">
        <v>17.96</v>
      </c>
      <c r="E84" s="231">
        <v>3.78587962962963E-2</v>
      </c>
      <c r="F84" s="98">
        <v>19.77</v>
      </c>
      <c r="G84" s="94">
        <v>152</v>
      </c>
    </row>
    <row r="85" spans="1:14" x14ac:dyDescent="0.2">
      <c r="A85" s="121">
        <v>43362</v>
      </c>
      <c r="B85" s="115"/>
      <c r="C85" s="192"/>
      <c r="D85" s="98">
        <v>20.62</v>
      </c>
      <c r="E85" s="231">
        <v>4.0509259259259259E-2</v>
      </c>
      <c r="F85" s="98">
        <v>21.22</v>
      </c>
      <c r="G85" s="94">
        <v>197</v>
      </c>
    </row>
    <row r="86" spans="1:14" x14ac:dyDescent="0.2">
      <c r="A86" s="121">
        <v>43363</v>
      </c>
      <c r="B86" s="115"/>
      <c r="C86" s="192"/>
      <c r="D86" s="98">
        <v>20.73</v>
      </c>
      <c r="E86" s="231">
        <v>4.0208333333333332E-2</v>
      </c>
      <c r="F86" s="98">
        <v>21.49</v>
      </c>
      <c r="G86" s="94">
        <v>200</v>
      </c>
    </row>
    <row r="87" spans="1:14" x14ac:dyDescent="0.2">
      <c r="A87" s="121">
        <v>43364</v>
      </c>
      <c r="B87" s="115"/>
      <c r="C87" s="192"/>
      <c r="D87" s="98">
        <v>20.57</v>
      </c>
      <c r="E87" s="231">
        <v>3.965277777777778E-2</v>
      </c>
      <c r="F87" s="98">
        <v>21.63</v>
      </c>
      <c r="G87" s="94">
        <v>199</v>
      </c>
      <c r="J87" s="13"/>
    </row>
    <row r="88" spans="1:14" ht="15" x14ac:dyDescent="0.2">
      <c r="A88" s="138">
        <v>43365</v>
      </c>
      <c r="B88" s="67" t="s">
        <v>260</v>
      </c>
      <c r="C88" s="118">
        <v>29</v>
      </c>
      <c r="D88" s="67">
        <v>21.16</v>
      </c>
      <c r="E88" s="68">
        <v>6.3020833333333331E-2</v>
      </c>
      <c r="F88" s="150">
        <v>13.95</v>
      </c>
      <c r="G88" s="69">
        <v>1000</v>
      </c>
    </row>
    <row r="89" spans="1:14" ht="13.5" thickBot="1" x14ac:dyDescent="0.25">
      <c r="A89" s="229">
        <v>43365</v>
      </c>
      <c r="B89" s="229"/>
      <c r="C89" s="229"/>
      <c r="D89" s="225">
        <v>20.45</v>
      </c>
      <c r="E89" s="238">
        <v>3.3090277777777781E-2</v>
      </c>
      <c r="F89" s="225">
        <v>25.5</v>
      </c>
      <c r="G89" s="226">
        <v>180</v>
      </c>
      <c r="H89" s="239"/>
      <c r="I89" s="33"/>
      <c r="K89" s="33"/>
      <c r="L89" s="33"/>
      <c r="M89" s="33"/>
      <c r="N89" s="33"/>
    </row>
    <row r="90" spans="1:14" x14ac:dyDescent="0.2">
      <c r="A90" s="230">
        <v>43370</v>
      </c>
      <c r="B90" s="221"/>
      <c r="C90" s="221"/>
      <c r="D90" s="98">
        <v>10.71</v>
      </c>
      <c r="E90" s="231">
        <v>4.1469907407407407E-2</v>
      </c>
      <c r="F90" s="98">
        <v>10.76</v>
      </c>
      <c r="G90" s="94">
        <v>204</v>
      </c>
    </row>
    <row r="91" spans="1:14" x14ac:dyDescent="0.2">
      <c r="A91" s="121">
        <v>43372</v>
      </c>
      <c r="B91" s="115"/>
      <c r="C91" s="192"/>
      <c r="D91" s="98">
        <v>34.54</v>
      </c>
      <c r="E91" s="231">
        <v>6.8402777777777771E-2</v>
      </c>
      <c r="F91" s="98">
        <v>21.04</v>
      </c>
      <c r="G91" s="94">
        <v>614</v>
      </c>
    </row>
    <row r="92" spans="1:14" x14ac:dyDescent="0.2">
      <c r="A92" s="121">
        <v>43389</v>
      </c>
      <c r="B92" s="115"/>
      <c r="C92" s="192"/>
      <c r="D92" s="98">
        <v>14.05</v>
      </c>
      <c r="E92" s="231">
        <v>3.0324074074074073E-2</v>
      </c>
      <c r="F92" s="98">
        <v>19.32</v>
      </c>
      <c r="G92" s="94">
        <v>127</v>
      </c>
    </row>
    <row r="93" spans="1:14" x14ac:dyDescent="0.2">
      <c r="A93" s="121">
        <v>43390</v>
      </c>
      <c r="B93" s="115"/>
      <c r="C93" s="192"/>
      <c r="D93" s="98">
        <v>28.88</v>
      </c>
      <c r="E93" s="231">
        <v>5.7418981481481481E-2</v>
      </c>
      <c r="F93" s="98">
        <v>20.95</v>
      </c>
      <c r="G93" s="94">
        <v>258</v>
      </c>
    </row>
    <row r="94" spans="1:14" x14ac:dyDescent="0.2">
      <c r="A94" s="121">
        <v>43403</v>
      </c>
      <c r="B94" s="115"/>
      <c r="C94" s="192"/>
      <c r="D94" s="98">
        <v>14.07</v>
      </c>
      <c r="E94" s="231">
        <v>3.2326388888888884E-2</v>
      </c>
      <c r="F94" s="98">
        <v>18.14</v>
      </c>
      <c r="G94" s="94">
        <v>138</v>
      </c>
    </row>
    <row r="95" spans="1:14" x14ac:dyDescent="0.2">
      <c r="A95" s="121">
        <v>43404</v>
      </c>
      <c r="B95" s="115"/>
      <c r="C95" s="192"/>
      <c r="D95" s="98">
        <v>15.21</v>
      </c>
      <c r="E95" s="231">
        <v>3.1909722222222221E-2</v>
      </c>
      <c r="F95" s="98">
        <v>19.87</v>
      </c>
      <c r="G95" s="94">
        <v>145</v>
      </c>
    </row>
    <row r="96" spans="1:14" x14ac:dyDescent="0.2">
      <c r="A96" s="121">
        <v>43405</v>
      </c>
      <c r="B96" s="115"/>
      <c r="C96" s="192"/>
      <c r="D96" s="98">
        <v>13.97</v>
      </c>
      <c r="E96" s="231">
        <v>3.0462962962962966E-2</v>
      </c>
      <c r="F96" s="98">
        <v>19.11</v>
      </c>
      <c r="G96" s="94">
        <v>132</v>
      </c>
    </row>
    <row r="97" spans="1:9" x14ac:dyDescent="0.2">
      <c r="A97" s="121">
        <v>43406</v>
      </c>
      <c r="B97" s="115"/>
      <c r="C97" s="192"/>
      <c r="D97" s="98">
        <v>28.78</v>
      </c>
      <c r="E97" s="231">
        <v>6.277777777777778E-2</v>
      </c>
      <c r="F97" s="98">
        <v>19.100000000000001</v>
      </c>
      <c r="G97" s="94">
        <v>294</v>
      </c>
    </row>
    <row r="98" spans="1:9" x14ac:dyDescent="0.2">
      <c r="A98" s="121">
        <v>43409</v>
      </c>
      <c r="B98" s="153"/>
      <c r="C98" s="192"/>
      <c r="D98" s="98">
        <v>20.23</v>
      </c>
      <c r="E98" s="231">
        <v>4.3078703703703702E-2</v>
      </c>
      <c r="F98" s="98">
        <v>19.57</v>
      </c>
      <c r="G98" s="94">
        <v>206</v>
      </c>
    </row>
    <row r="99" spans="1:9" x14ac:dyDescent="0.2">
      <c r="A99" s="121">
        <v>43410</v>
      </c>
      <c r="B99" s="115"/>
      <c r="C99" s="192"/>
      <c r="D99" s="98">
        <v>55.43</v>
      </c>
      <c r="E99" s="231">
        <v>0.11776620370370371</v>
      </c>
      <c r="F99" s="98">
        <v>19.61</v>
      </c>
      <c r="G99" s="94">
        <v>496</v>
      </c>
    </row>
    <row r="100" spans="1:9" x14ac:dyDescent="0.2">
      <c r="A100" s="243">
        <v>43412</v>
      </c>
      <c r="B100" s="244"/>
      <c r="C100" s="245"/>
      <c r="D100" s="246">
        <v>20.46</v>
      </c>
      <c r="E100" s="247">
        <v>4.0532407407407406E-2</v>
      </c>
      <c r="F100" s="246">
        <v>21.04</v>
      </c>
      <c r="G100" s="94">
        <v>196</v>
      </c>
    </row>
    <row r="101" spans="1:9" x14ac:dyDescent="0.2">
      <c r="A101" s="243">
        <v>43413</v>
      </c>
      <c r="B101" s="244"/>
      <c r="C101" s="245"/>
      <c r="D101" s="246">
        <v>31.29</v>
      </c>
      <c r="E101" s="247">
        <v>7.0706018518518529E-2</v>
      </c>
      <c r="F101" s="246">
        <v>18.440000000000001</v>
      </c>
      <c r="G101" s="94">
        <v>295</v>
      </c>
    </row>
    <row r="102" spans="1:9" x14ac:dyDescent="0.2">
      <c r="A102" s="243">
        <v>43416</v>
      </c>
      <c r="B102" s="244"/>
      <c r="C102" s="245"/>
      <c r="D102" s="246">
        <v>15.66</v>
      </c>
      <c r="E102" s="247">
        <v>3.4456018518518518E-2</v>
      </c>
      <c r="F102" s="246">
        <v>18.940000000000001</v>
      </c>
      <c r="G102" s="94">
        <v>137</v>
      </c>
    </row>
    <row r="103" spans="1:9" x14ac:dyDescent="0.2">
      <c r="A103" s="243">
        <v>43417</v>
      </c>
      <c r="B103" s="244"/>
      <c r="C103" s="245"/>
      <c r="D103" s="246">
        <v>21.3</v>
      </c>
      <c r="E103" s="247">
        <v>4.2627314814814819E-2</v>
      </c>
      <c r="F103" s="246">
        <v>20.82</v>
      </c>
      <c r="G103" s="94">
        <v>208</v>
      </c>
    </row>
    <row r="104" spans="1:9" x14ac:dyDescent="0.2">
      <c r="A104" s="243">
        <v>43418</v>
      </c>
      <c r="B104" s="244"/>
      <c r="C104" s="245"/>
      <c r="D104" s="246">
        <v>20.85</v>
      </c>
      <c r="E104" s="247">
        <v>4.2129629629629628E-2</v>
      </c>
      <c r="F104" s="246">
        <v>20.62</v>
      </c>
      <c r="G104" s="94">
        <v>211</v>
      </c>
    </row>
    <row r="105" spans="1:9" x14ac:dyDescent="0.2">
      <c r="A105" s="243">
        <v>43419</v>
      </c>
      <c r="B105" s="244"/>
      <c r="C105" s="245"/>
      <c r="D105" s="246">
        <v>13.72</v>
      </c>
      <c r="E105" s="247">
        <v>2.9398148148148149E-2</v>
      </c>
      <c r="F105" s="246">
        <v>19.440000000000001</v>
      </c>
      <c r="G105" s="94">
        <v>141</v>
      </c>
    </row>
    <row r="106" spans="1:9" x14ac:dyDescent="0.2">
      <c r="A106" s="243"/>
      <c r="B106" s="244"/>
      <c r="C106" s="245"/>
      <c r="D106" s="246"/>
      <c r="E106" s="247"/>
      <c r="F106" s="246"/>
      <c r="G106" s="94"/>
    </row>
    <row r="107" spans="1:9" x14ac:dyDescent="0.2">
      <c r="A107" s="243"/>
      <c r="B107" s="244"/>
      <c r="C107" s="245"/>
      <c r="D107" s="246"/>
      <c r="E107" s="247"/>
      <c r="F107" s="246"/>
      <c r="G107" s="94"/>
    </row>
    <row r="108" spans="1:9" x14ac:dyDescent="0.2">
      <c r="A108" s="243"/>
      <c r="B108" s="244"/>
      <c r="C108" s="245"/>
      <c r="D108" s="246"/>
      <c r="E108" s="247"/>
      <c r="F108" s="246"/>
      <c r="G108" s="94"/>
    </row>
    <row r="109" spans="1:9" x14ac:dyDescent="0.2">
      <c r="A109" s="243"/>
      <c r="B109" s="244"/>
      <c r="C109" s="245"/>
      <c r="D109" s="246"/>
      <c r="E109" s="247"/>
      <c r="F109" s="246"/>
      <c r="G109" s="94"/>
    </row>
    <row r="110" spans="1:9" x14ac:dyDescent="0.2">
      <c r="A110" s="243"/>
      <c r="B110" s="244"/>
      <c r="C110" s="245"/>
      <c r="D110" s="246"/>
      <c r="E110" s="247"/>
      <c r="F110" s="246"/>
      <c r="G110" s="94"/>
    </row>
    <row r="111" spans="1:9" ht="13.5" thickBot="1" x14ac:dyDescent="0.25">
      <c r="A111" s="155"/>
      <c r="B111" s="116"/>
      <c r="C111" s="193"/>
      <c r="D111" s="193"/>
      <c r="E111" s="193"/>
      <c r="F111" s="193"/>
      <c r="G111" s="248"/>
    </row>
    <row r="112" spans="1:9" ht="15" x14ac:dyDescent="0.2">
      <c r="A112" s="187" t="s">
        <v>90</v>
      </c>
      <c r="D112">
        <f>SUM(D2:D111)</f>
        <v>2865.6899999999996</v>
      </c>
      <c r="E112" s="197">
        <f>SUM(E2:E111)</f>
        <v>6.1419328703703711</v>
      </c>
      <c r="F112" s="33">
        <f>AVERAGE(F2:F111)</f>
        <v>20.10684466019417</v>
      </c>
      <c r="G112">
        <f>SUM(G2:G111)</f>
        <v>31182</v>
      </c>
      <c r="H112" t="s">
        <v>90</v>
      </c>
      <c r="I112">
        <f>SUM(I2:I111)</f>
        <v>6751</v>
      </c>
    </row>
    <row r="113" spans="2:9" x14ac:dyDescent="0.2">
      <c r="I113" s="33">
        <f>I112/D112</f>
        <v>2.3558026164728219</v>
      </c>
    </row>
    <row r="114" spans="2:9" x14ac:dyDescent="0.2">
      <c r="I114">
        <v>6</v>
      </c>
    </row>
    <row r="115" spans="2:9" x14ac:dyDescent="0.2">
      <c r="C115" s="156" t="s">
        <v>203</v>
      </c>
      <c r="D115" s="156" t="s">
        <v>202</v>
      </c>
    </row>
    <row r="116" spans="2:9" x14ac:dyDescent="0.2">
      <c r="B116" s="32" t="s">
        <v>178</v>
      </c>
      <c r="C116">
        <f>SUMIFS($D$2:$D$111,$A$2:$A$111,"&lt;=31.1.2018")</f>
        <v>91.419999999999987</v>
      </c>
      <c r="D116">
        <f>COUNTIFS($A$2:$A$111,"&gt;=1.1.2018",$A$2:$A$111,"&lt;=31.1.2018")</f>
        <v>7</v>
      </c>
    </row>
    <row r="117" spans="2:9" x14ac:dyDescent="0.2">
      <c r="B117" s="32" t="s">
        <v>179</v>
      </c>
      <c r="C117">
        <f>SUMIFS($D$2:$D$111,$A$2:$A$111,"&lt;1.3.2018")-SUMIFS($D$2:$D$55,$A$2:$A$55,"&lt;1.2.2018")</f>
        <v>0</v>
      </c>
      <c r="D117">
        <f>COUNTIFS($A$2:$A$111,"&gt;=1.2.2018",$A$2:$A$111,"&lt;=28.2.2018")</f>
        <v>0</v>
      </c>
      <c r="F117" s="97"/>
    </row>
    <row r="118" spans="2:9" x14ac:dyDescent="0.2">
      <c r="B118" s="32" t="s">
        <v>180</v>
      </c>
      <c r="C118">
        <f>SUMIFS($D$2:$D$111,$A$2:$A$111,"&lt;1.4.2018")-SUMIFS($D$2:$D$55,$A$2:$A$55,"&lt;1.3.2018")</f>
        <v>35.77000000000001</v>
      </c>
      <c r="D118">
        <f>COUNTIFS($A$2:$A$111,"&gt;=1.3.2018",$A$2:$A$111,"&lt;=31.3.2018")</f>
        <v>1</v>
      </c>
    </row>
    <row r="119" spans="2:9" x14ac:dyDescent="0.2">
      <c r="B119" s="32" t="s">
        <v>181</v>
      </c>
      <c r="C119">
        <f>SUMIFS($D$2:$D$55,$A$2:$A$55,"&lt;1.5.2018")-SUMIFS($D$2:$D$55,$A$2:$A$55,"&lt;1.4.2018")</f>
        <v>366.48999999999995</v>
      </c>
      <c r="D119">
        <f>COUNTIFS($A$2:$A$111,"&gt;=1.4.2018",$A$2:$A$111,"&lt;=30.4.2018")</f>
        <v>15</v>
      </c>
      <c r="F119" s="33"/>
    </row>
    <row r="120" spans="2:9" x14ac:dyDescent="0.2">
      <c r="B120" s="32" t="s">
        <v>182</v>
      </c>
      <c r="C120">
        <f>SUMIFS($D$2:$D$55,$A$2:$A$55,"&lt;1.6.2018")-SUMIFS($D$2:$D$55,$A$2:$A$55,"&lt;1.5.2018")</f>
        <v>183.75</v>
      </c>
      <c r="D120">
        <f>COUNTIFS($A$2:$A$111,"&gt;=1.5.2018",$A$2:$A$111,"&lt;=31.5.2018")</f>
        <v>7</v>
      </c>
    </row>
    <row r="121" spans="2:9" x14ac:dyDescent="0.2">
      <c r="B121" s="32" t="s">
        <v>183</v>
      </c>
      <c r="C121">
        <f>SUMIFS($D$2:$D$55,$A$2:$A$55,"&lt;1.7.2018")-SUMIFS($D$2:$D$55,$A$2:$A$55,"&lt;1.6.2018")</f>
        <v>394.92999999999995</v>
      </c>
      <c r="D121">
        <f>COUNTIFS($A$2:$A$111,"&gt;=1.6.2018",$A$2:$A$111,"&lt;=30.6.2018")</f>
        <v>13</v>
      </c>
    </row>
    <row r="122" spans="2:9" x14ac:dyDescent="0.2">
      <c r="B122" s="32" t="s">
        <v>184</v>
      </c>
      <c r="C122">
        <f>SUMIFS($D$2:$D$55,$A$2:$A$55,"&lt;1.8.2018")-SUMIFS($D$2:$D$55,$A$2:$A$55,"&lt;1.7.2018")</f>
        <v>560.00999999999976</v>
      </c>
      <c r="D122">
        <f>COUNTIFS($A$2:$A$111,"&gt;=1.7.2018",$A$2:$A$111,"&lt;=31.7.2018")</f>
        <v>12</v>
      </c>
    </row>
    <row r="123" spans="2:9" x14ac:dyDescent="0.2">
      <c r="B123" s="32" t="s">
        <v>185</v>
      </c>
      <c r="C123">
        <f>SUMIFS($D$2:$D$111,$A$2:$A$111,"&lt;1.9.2018")-SUMIFS($D$2:$D$55,$A$2:$A$55,"&lt;1.8.2018")</f>
        <v>529.02999999999952</v>
      </c>
      <c r="D123">
        <f>COUNTIFS($A$2:$A$111,"&gt;=1.8.2018",$A$2:$A$111,"&lt;=30.8.2018")</f>
        <v>18</v>
      </c>
    </row>
    <row r="124" spans="2:9" x14ac:dyDescent="0.2">
      <c r="B124" s="32" t="s">
        <v>186</v>
      </c>
      <c r="C124">
        <f>SUMIFS($D$2:$D$111,$A$2:$A$111,"&lt;1.10.2018")-SUMIFS($D$2:$D$111,$A$2:$A$111,"&lt;1.9.2018")</f>
        <v>390.39000000000033</v>
      </c>
      <c r="D124">
        <f>COUNTIFS($A$2:$A$111,"&gt;=1.9.2018",$A$2:$A$111,"&lt;=30.9.2018")</f>
        <v>17</v>
      </c>
    </row>
    <row r="125" spans="2:9" x14ac:dyDescent="0.2">
      <c r="B125" s="32" t="s">
        <v>187</v>
      </c>
      <c r="C125">
        <f>SUMIFS($D$2:$D$111,$A$2:$A$111,"&lt;1.11.2018")-SUMIFS($D$2:$D$111,$A$2:$A$111,"&lt;1.10.2018")</f>
        <v>72.210000000000491</v>
      </c>
      <c r="D125">
        <f>COUNTIFS($A$2:$A$111,"&gt;=1.10.2018",$A$2:$A$111,"&lt;=30.10.2018")</f>
        <v>3</v>
      </c>
    </row>
    <row r="126" spans="2:9" x14ac:dyDescent="0.2">
      <c r="B126" s="32" t="s">
        <v>188</v>
      </c>
      <c r="C126">
        <f>SUMIFS($D$2:$D$111,$A$2:$A$111,"&lt;1.12.2018")-SUMIFS($D$2:$D$111,$A$2:$A$111,"&lt;1.11.2018")</f>
        <v>241.6899999999996</v>
      </c>
      <c r="D126">
        <f>COUNTIFS($A$2:$A$111,"&gt;=1.11.2018",$A$2:$A$111,"&lt;=30.11.2018")</f>
        <v>10</v>
      </c>
    </row>
    <row r="127" spans="2:9" x14ac:dyDescent="0.2">
      <c r="B127" s="32" t="s">
        <v>189</v>
      </c>
      <c r="C127">
        <f>SUMIFS($D$2:$D$111,$A$2:$A$111,"&lt;31.12.2018")-SUMIFS($D$2:$D$111,$A$2:$A$111,"&lt;1.12.2018")</f>
        <v>0</v>
      </c>
      <c r="D127">
        <f>COUNTIFS($A$2:$A$111,"&gt;=1.12.2018",$A$2:$A$111,"&lt;=31.12.2018")</f>
        <v>0</v>
      </c>
    </row>
    <row r="128" spans="2:9" x14ac:dyDescent="0.2">
      <c r="B128"/>
      <c r="C128" s="97">
        <f>SUM(C116:C127)</f>
        <v>2865.6899999999996</v>
      </c>
      <c r="D128">
        <f>SUM(D116:D127)</f>
        <v>103</v>
      </c>
    </row>
    <row r="132" spans="2:4" x14ac:dyDescent="0.2">
      <c r="B132" s="136" t="s">
        <v>195</v>
      </c>
      <c r="C132" s="33">
        <f>SUMIFS($F$2:$F$111,$G$2:$G$111,"&lt;500")/COUNTIFS($G$2:$G$111,"&lt;500")</f>
        <v>20.196436170212763</v>
      </c>
    </row>
    <row r="133" spans="2:4" x14ac:dyDescent="0.2">
      <c r="B133" s="136" t="s">
        <v>196</v>
      </c>
      <c r="C133" s="33">
        <f>SUMIFS($F$2:$F$111,$G$2:$G$111,"&gt;500",$G$2:$G$111,"&lt;1000")/COUNTIFS($G$2:$G$111,"&gt;500",$G$2:$G$111,"&lt;1000")</f>
        <v>19.344999999999999</v>
      </c>
    </row>
    <row r="134" spans="2:4" x14ac:dyDescent="0.2">
      <c r="B134" s="136" t="s">
        <v>194</v>
      </c>
      <c r="C134" s="33">
        <f>SUMIFS($F$2:$F$111,$G$2:$G$111,"&gt;1000")/COUNTIFS($G$2:$G$111,"&gt;1000")</f>
        <v>16.242000000000001</v>
      </c>
    </row>
    <row r="135" spans="2:4" x14ac:dyDescent="0.2">
      <c r="D135" s="145"/>
    </row>
    <row r="136" spans="2:4" ht="13.5" thickBot="1" x14ac:dyDescent="0.25"/>
    <row r="137" spans="2:4" ht="15" thickBot="1" x14ac:dyDescent="0.25">
      <c r="B137" s="286" t="s">
        <v>278</v>
      </c>
      <c r="C137" s="287" t="s">
        <v>279</v>
      </c>
    </row>
    <row r="138" spans="2:4" x14ac:dyDescent="0.2">
      <c r="B138" s="281" t="s">
        <v>277</v>
      </c>
      <c r="C138" s="282">
        <f>COUNTIFS($D$2:$D$111,"=&lt;10")</f>
        <v>0</v>
      </c>
    </row>
    <row r="139" spans="2:4" x14ac:dyDescent="0.2">
      <c r="B139" s="283" t="s">
        <v>274</v>
      </c>
      <c r="C139" s="280">
        <f>COUNTIFS($D$2:$D$111,"&gt;=10",$D$2:$D$111,"&lt;=20")</f>
        <v>32</v>
      </c>
    </row>
    <row r="140" spans="2:4" x14ac:dyDescent="0.2">
      <c r="B140" s="283" t="s">
        <v>266</v>
      </c>
      <c r="C140" s="280">
        <f>COUNTIFS($D$2:$D$111,"&gt;=20",$D$2:$D$111,"&lt;=30")</f>
        <v>47</v>
      </c>
    </row>
    <row r="141" spans="2:4" x14ac:dyDescent="0.2">
      <c r="B141" s="283" t="s">
        <v>268</v>
      </c>
      <c r="C141" s="280">
        <f>COUNTIFS($D$2:$D$111,"&gt;=30",$D$2:$D$111,"&lt;=40")</f>
        <v>9</v>
      </c>
    </row>
    <row r="142" spans="2:4" x14ac:dyDescent="0.2">
      <c r="B142" s="283" t="s">
        <v>267</v>
      </c>
      <c r="C142" s="280">
        <f>COUNTIFS($D$2:$D$111,"&gt;=40",$D$2:$D$111,"&lt;=50")</f>
        <v>5</v>
      </c>
    </row>
    <row r="143" spans="2:4" x14ac:dyDescent="0.2">
      <c r="B143" s="283" t="s">
        <v>269</v>
      </c>
      <c r="C143" s="280">
        <f>COUNTIFS($D$2:$D$111,"&gt;=50",$D$2:$D$111,"&lt;=60")</f>
        <v>3</v>
      </c>
    </row>
    <row r="144" spans="2:4" x14ac:dyDescent="0.2">
      <c r="B144" s="283" t="s">
        <v>270</v>
      </c>
      <c r="C144" s="280">
        <f>COUNTIFS($D$2:$D$111,"&gt;=60",$D$2:$D$111,"&lt;=70")</f>
        <v>1</v>
      </c>
    </row>
    <row r="145" spans="2:3" x14ac:dyDescent="0.2">
      <c r="B145" s="283" t="s">
        <v>271</v>
      </c>
      <c r="C145" s="280">
        <f>COUNTIFS($D$2:$D$111,"&gt;=70",$D$2:$D$111,"&lt;=80")</f>
        <v>1</v>
      </c>
    </row>
    <row r="146" spans="2:3" x14ac:dyDescent="0.2">
      <c r="B146" s="283" t="s">
        <v>272</v>
      </c>
      <c r="C146" s="280">
        <f>COUNTIFS($D$2:$D$111,"&gt;=80",$D$2:$D$111,"&lt;=90")</f>
        <v>2</v>
      </c>
    </row>
    <row r="147" spans="2:3" x14ac:dyDescent="0.2">
      <c r="B147" s="283" t="s">
        <v>273</v>
      </c>
      <c r="C147" s="280">
        <f>COUNTIFS($D$2:$D$111,"&gt;=90",$D$2:$D$111,"&lt;=100")</f>
        <v>1</v>
      </c>
    </row>
    <row r="148" spans="2:3" x14ac:dyDescent="0.2">
      <c r="B148" s="283" t="s">
        <v>275</v>
      </c>
      <c r="C148" s="280">
        <f>COUNTIFS($D$2:$D$111,"&gt;=100",$D$2:$D$111,"&lt;=110")</f>
        <v>1</v>
      </c>
    </row>
    <row r="149" spans="2:3" ht="13.5" thickBot="1" x14ac:dyDescent="0.25">
      <c r="B149" s="284" t="s">
        <v>276</v>
      </c>
      <c r="C149" s="285">
        <f>COUNTIFS($D$2:$D$111,"&gt;=110",$D$2:$D$111,"&lt;=150")</f>
        <v>1</v>
      </c>
    </row>
    <row r="150" spans="2:3" x14ac:dyDescent="0.2">
      <c r="C150" s="117">
        <f>SUM(C138:C149)</f>
        <v>103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05"/>
  <sheetViews>
    <sheetView topLeftCell="A4" workbookViewId="0">
      <selection activeCell="C100" sqref="C100"/>
    </sheetView>
  </sheetViews>
  <sheetFormatPr defaultRowHeight="12.75" x14ac:dyDescent="0.2"/>
  <cols>
    <col min="1" max="1" width="10.140625" style="12" bestFit="1" customWidth="1"/>
    <col min="2" max="2" width="25.85546875" style="117" bestFit="1" customWidth="1"/>
    <col min="3" max="3" width="16.4257812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9" ht="13.5" thickBot="1" x14ac:dyDescent="0.25">
      <c r="A1" s="154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65" t="s">
        <v>144</v>
      </c>
    </row>
    <row r="2" spans="1:9" x14ac:dyDescent="0.2">
      <c r="A2" s="129">
        <v>42781</v>
      </c>
      <c r="B2" s="111"/>
      <c r="C2" s="111"/>
      <c r="D2" s="60">
        <v>10.31</v>
      </c>
      <c r="E2" s="61">
        <v>2.4733796296296295E-2</v>
      </c>
      <c r="F2" s="148">
        <v>17.399999999999999</v>
      </c>
      <c r="G2" s="62">
        <v>168</v>
      </c>
      <c r="H2" t="s">
        <v>199</v>
      </c>
      <c r="I2" s="31">
        <v>3609</v>
      </c>
    </row>
    <row r="3" spans="1:9" x14ac:dyDescent="0.2">
      <c r="A3" s="130">
        <v>42782</v>
      </c>
      <c r="B3" s="112"/>
      <c r="C3" s="112"/>
      <c r="D3" s="51">
        <v>13.18</v>
      </c>
      <c r="E3" s="52">
        <v>2.8067129629629626E-2</v>
      </c>
      <c r="F3" s="149">
        <v>19.600000000000001</v>
      </c>
      <c r="G3" s="53">
        <v>193</v>
      </c>
      <c r="H3" t="s">
        <v>201</v>
      </c>
      <c r="I3" s="109">
        <v>130</v>
      </c>
    </row>
    <row r="4" spans="1:9" x14ac:dyDescent="0.2">
      <c r="A4" s="130">
        <v>42814</v>
      </c>
      <c r="B4" s="112"/>
      <c r="C4" s="112"/>
      <c r="D4" s="51">
        <v>11.84</v>
      </c>
      <c r="E4" s="52">
        <v>2.5740740740740745E-2</v>
      </c>
      <c r="F4" s="149">
        <v>19.2</v>
      </c>
      <c r="G4" s="53">
        <v>158</v>
      </c>
      <c r="H4" t="s">
        <v>204</v>
      </c>
      <c r="I4" s="109">
        <v>3480</v>
      </c>
    </row>
    <row r="5" spans="1:9" x14ac:dyDescent="0.2">
      <c r="A5" s="130">
        <v>42815</v>
      </c>
      <c r="B5" s="112"/>
      <c r="C5" s="112"/>
      <c r="D5" s="51">
        <v>12.58</v>
      </c>
      <c r="E5" s="52">
        <v>2.5555555555555554E-2</v>
      </c>
      <c r="F5" s="149">
        <v>20.5</v>
      </c>
      <c r="G5" s="53">
        <v>178</v>
      </c>
      <c r="H5" s="32"/>
      <c r="I5" s="109"/>
    </row>
    <row r="6" spans="1:9" x14ac:dyDescent="0.2">
      <c r="A6" s="130">
        <v>42821</v>
      </c>
      <c r="B6" s="112"/>
      <c r="C6" s="112"/>
      <c r="D6" s="51">
        <v>24.66</v>
      </c>
      <c r="E6" s="52">
        <v>4.6770833333333338E-2</v>
      </c>
      <c r="F6" s="149">
        <v>22</v>
      </c>
      <c r="G6" s="53">
        <v>241</v>
      </c>
      <c r="H6" s="133"/>
      <c r="I6" s="109"/>
    </row>
    <row r="7" spans="1:9" x14ac:dyDescent="0.2">
      <c r="A7" s="130">
        <v>42822</v>
      </c>
      <c r="B7" s="112"/>
      <c r="C7" s="112"/>
      <c r="D7" s="51">
        <v>49.5</v>
      </c>
      <c r="E7" s="52">
        <v>0.10462962962962963</v>
      </c>
      <c r="F7" s="149">
        <v>19.7</v>
      </c>
      <c r="G7" s="53">
        <v>466</v>
      </c>
      <c r="H7" s="133"/>
      <c r="I7" s="109"/>
    </row>
    <row r="8" spans="1:9" x14ac:dyDescent="0.2">
      <c r="A8" s="130">
        <v>42823</v>
      </c>
      <c r="B8" s="112"/>
      <c r="C8" s="112"/>
      <c r="D8" s="51">
        <v>11.23</v>
      </c>
      <c r="E8" s="52">
        <v>2.2118055555555557E-2</v>
      </c>
      <c r="F8" s="149">
        <v>21.3</v>
      </c>
      <c r="G8" s="51">
        <v>167</v>
      </c>
    </row>
    <row r="9" spans="1:9" x14ac:dyDescent="0.2">
      <c r="A9" s="130">
        <v>42849</v>
      </c>
      <c r="B9" s="112"/>
      <c r="C9" s="112"/>
      <c r="D9" s="51">
        <v>34.68</v>
      </c>
      <c r="E9" s="52">
        <v>6.8645833333333336E-2</v>
      </c>
      <c r="F9" s="149">
        <v>20.8</v>
      </c>
      <c r="G9" s="51">
        <v>303</v>
      </c>
    </row>
    <row r="10" spans="1:9" x14ac:dyDescent="0.2">
      <c r="A10" s="130">
        <v>42856</v>
      </c>
      <c r="B10" s="112"/>
      <c r="C10" s="112"/>
      <c r="D10" s="51">
        <v>20.98</v>
      </c>
      <c r="E10" s="52">
        <v>3.9016203703703699E-2</v>
      </c>
      <c r="F10" s="149">
        <v>22.4</v>
      </c>
      <c r="G10" s="53">
        <v>227</v>
      </c>
    </row>
    <row r="11" spans="1:9" x14ac:dyDescent="0.2">
      <c r="A11" s="130">
        <v>42864</v>
      </c>
      <c r="B11" s="112"/>
      <c r="C11" s="112"/>
      <c r="D11" s="51">
        <v>12.44</v>
      </c>
      <c r="E11" s="52">
        <v>3.006944444444444E-2</v>
      </c>
      <c r="F11" s="149">
        <v>18.079999999999998</v>
      </c>
      <c r="G11" s="53">
        <v>130</v>
      </c>
    </row>
    <row r="12" spans="1:9" x14ac:dyDescent="0.2">
      <c r="A12" s="130">
        <v>42865</v>
      </c>
      <c r="B12" s="112"/>
      <c r="C12" s="112"/>
      <c r="D12" s="51">
        <v>23.38</v>
      </c>
      <c r="E12" s="52">
        <v>5.1192129629629629E-2</v>
      </c>
      <c r="F12" s="149">
        <v>19.04</v>
      </c>
      <c r="G12" s="53">
        <v>235</v>
      </c>
    </row>
    <row r="13" spans="1:9" x14ac:dyDescent="0.2">
      <c r="A13" s="130">
        <v>42866</v>
      </c>
      <c r="B13" s="112"/>
      <c r="C13" s="112"/>
      <c r="D13" s="51">
        <v>56.3</v>
      </c>
      <c r="E13" s="52">
        <v>0.11215277777777777</v>
      </c>
      <c r="F13" s="149">
        <v>20.91</v>
      </c>
      <c r="G13" s="53">
        <v>584</v>
      </c>
    </row>
    <row r="14" spans="1:9" x14ac:dyDescent="0.2">
      <c r="A14" s="130">
        <v>42871</v>
      </c>
      <c r="B14" s="112"/>
      <c r="C14" s="112"/>
      <c r="D14" s="51">
        <v>43.85</v>
      </c>
      <c r="E14" s="52">
        <v>7.9085648148148155E-2</v>
      </c>
      <c r="F14" s="149">
        <v>23.1</v>
      </c>
      <c r="G14" s="53">
        <v>312</v>
      </c>
    </row>
    <row r="15" spans="1:9" x14ac:dyDescent="0.2">
      <c r="A15" s="130">
        <v>42873</v>
      </c>
      <c r="B15" s="112"/>
      <c r="C15" s="112"/>
      <c r="D15" s="51">
        <v>47.01</v>
      </c>
      <c r="E15" s="52">
        <v>9.7094907407407408E-2</v>
      </c>
      <c r="F15" s="149">
        <v>20.170000000000002</v>
      </c>
      <c r="G15" s="53">
        <v>563</v>
      </c>
    </row>
    <row r="16" spans="1:9" x14ac:dyDescent="0.2">
      <c r="A16" s="130">
        <v>42878</v>
      </c>
      <c r="B16" s="112"/>
      <c r="C16" s="112"/>
      <c r="D16" s="51">
        <v>19.100000000000001</v>
      </c>
      <c r="E16" s="52">
        <v>3.9293981481481485E-2</v>
      </c>
      <c r="F16" s="149">
        <v>20.25</v>
      </c>
      <c r="G16" s="53">
        <v>190</v>
      </c>
    </row>
    <row r="17" spans="1:17" x14ac:dyDescent="0.2">
      <c r="A17" s="130">
        <v>42879</v>
      </c>
      <c r="B17" s="112"/>
      <c r="C17" s="112"/>
      <c r="D17" s="51">
        <v>20.100000000000001</v>
      </c>
      <c r="E17" s="52">
        <v>4.521990740740741E-2</v>
      </c>
      <c r="F17" s="149">
        <v>18.52</v>
      </c>
      <c r="G17" s="53">
        <v>170</v>
      </c>
      <c r="H17" s="16"/>
    </row>
    <row r="18" spans="1:17" x14ac:dyDescent="0.2">
      <c r="A18" s="130">
        <v>42882</v>
      </c>
      <c r="B18" s="112"/>
      <c r="C18" s="112"/>
      <c r="D18" s="51">
        <v>55.47</v>
      </c>
      <c r="E18" s="52">
        <v>0.10532407407407407</v>
      </c>
      <c r="F18" s="149">
        <v>21.94</v>
      </c>
      <c r="G18" s="53">
        <v>593</v>
      </c>
    </row>
    <row r="19" spans="1:17" x14ac:dyDescent="0.2">
      <c r="A19" s="130">
        <v>42883</v>
      </c>
      <c r="B19" s="112" t="s">
        <v>200</v>
      </c>
      <c r="C19" s="112"/>
      <c r="D19" s="51">
        <v>35.5</v>
      </c>
      <c r="E19" s="52">
        <v>7.9849537037037038E-2</v>
      </c>
      <c r="F19" s="149">
        <v>18.52</v>
      </c>
      <c r="G19" s="53">
        <v>727</v>
      </c>
      <c r="J19" s="33"/>
    </row>
    <row r="20" spans="1:17" x14ac:dyDescent="0.2">
      <c r="A20" s="130">
        <v>42884</v>
      </c>
      <c r="B20" s="112"/>
      <c r="C20" s="112"/>
      <c r="D20" s="51">
        <v>27.12</v>
      </c>
      <c r="E20" s="52">
        <v>5.5324074074074074E-2</v>
      </c>
      <c r="F20" s="149">
        <v>20.420000000000002</v>
      </c>
      <c r="G20" s="53">
        <v>239</v>
      </c>
    </row>
    <row r="21" spans="1:17" ht="15" x14ac:dyDescent="0.25">
      <c r="A21" s="121">
        <v>42886</v>
      </c>
      <c r="B21" s="113"/>
      <c r="C21" s="113"/>
      <c r="D21" s="92">
        <v>13.16</v>
      </c>
      <c r="E21" s="93">
        <v>2.8206018518518519E-2</v>
      </c>
      <c r="F21" s="98">
        <v>19.440000000000001</v>
      </c>
      <c r="G21" s="94">
        <v>131</v>
      </c>
      <c r="H21" s="95"/>
      <c r="I21" s="96"/>
      <c r="K21" s="36"/>
      <c r="L21" s="36"/>
      <c r="M21" s="36"/>
      <c r="N21" s="36"/>
      <c r="O21" s="36"/>
      <c r="P21" s="36"/>
      <c r="Q21" s="36"/>
    </row>
    <row r="22" spans="1:17" x14ac:dyDescent="0.2">
      <c r="A22" s="121">
        <v>42887</v>
      </c>
      <c r="B22" s="113"/>
      <c r="C22" s="113"/>
      <c r="D22" s="92">
        <v>13.31</v>
      </c>
      <c r="E22" s="93">
        <v>2.8946759259259255E-2</v>
      </c>
      <c r="F22" s="98">
        <v>19.16</v>
      </c>
      <c r="G22" s="94">
        <v>128</v>
      </c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7" x14ac:dyDescent="0.2">
      <c r="A23" s="121">
        <v>42888</v>
      </c>
      <c r="B23" s="113"/>
      <c r="C23" s="113"/>
      <c r="D23" s="92">
        <v>13.26</v>
      </c>
      <c r="E23" s="93">
        <v>3.0324074074074073E-2</v>
      </c>
      <c r="F23" s="98">
        <v>18.13</v>
      </c>
      <c r="G23" s="94">
        <v>125</v>
      </c>
      <c r="H23" s="97"/>
      <c r="I23" s="97"/>
      <c r="J23" s="97"/>
      <c r="K23" s="97"/>
      <c r="L23" s="97"/>
      <c r="M23" s="97"/>
      <c r="N23" s="97"/>
      <c r="O23" s="97"/>
      <c r="P23" s="97"/>
      <c r="Q23" s="97"/>
    </row>
    <row r="24" spans="1:17" ht="15" x14ac:dyDescent="0.2">
      <c r="A24" s="131">
        <v>42896</v>
      </c>
      <c r="B24" s="67" t="s">
        <v>205</v>
      </c>
      <c r="C24" s="118">
        <v>19</v>
      </c>
      <c r="D24" s="67">
        <v>67.069999999999993</v>
      </c>
      <c r="E24" s="68">
        <v>0.2053935185185185</v>
      </c>
      <c r="F24" s="150">
        <v>13.6</v>
      </c>
      <c r="G24" s="69">
        <v>1403</v>
      </c>
      <c r="H24" s="97"/>
      <c r="I24" s="97"/>
      <c r="K24" s="97"/>
      <c r="M24" s="97"/>
      <c r="O24" s="97"/>
      <c r="Q24" s="97"/>
    </row>
    <row r="25" spans="1:17" x14ac:dyDescent="0.2">
      <c r="A25" s="121">
        <v>42897</v>
      </c>
      <c r="B25" s="113"/>
      <c r="C25" s="113"/>
      <c r="D25" s="92">
        <v>25.52</v>
      </c>
      <c r="E25" s="93">
        <v>9.5821759259259245E-2</v>
      </c>
      <c r="F25" s="98">
        <v>11.1</v>
      </c>
      <c r="G25" s="94">
        <v>621</v>
      </c>
      <c r="I25" s="97"/>
      <c r="K25" s="97"/>
      <c r="M25" s="97"/>
      <c r="O25" s="97"/>
      <c r="Q25" s="97"/>
    </row>
    <row r="26" spans="1:17" x14ac:dyDescent="0.2">
      <c r="A26" s="121">
        <v>42899</v>
      </c>
      <c r="B26" s="113"/>
      <c r="C26" s="113"/>
      <c r="D26" s="92">
        <v>13.4</v>
      </c>
      <c r="E26" s="93">
        <v>2.9363425925925921E-2</v>
      </c>
      <c r="F26" s="98">
        <v>19.010000000000002</v>
      </c>
      <c r="G26" s="94">
        <v>134</v>
      </c>
      <c r="H26" s="119"/>
      <c r="I26" s="97"/>
      <c r="J26" s="97"/>
      <c r="K26" s="97"/>
      <c r="L26" s="97"/>
      <c r="M26" s="97"/>
      <c r="N26" s="97"/>
      <c r="O26" s="97"/>
      <c r="P26" s="97"/>
      <c r="Q26" s="97"/>
    </row>
    <row r="27" spans="1:17" x14ac:dyDescent="0.2">
      <c r="A27" s="120">
        <v>42900</v>
      </c>
      <c r="B27" s="114"/>
      <c r="C27" s="113"/>
      <c r="D27" s="92">
        <v>20.6</v>
      </c>
      <c r="E27" s="93">
        <v>2.406574074074074</v>
      </c>
      <c r="F27" s="98">
        <v>21.42</v>
      </c>
      <c r="G27" s="94">
        <v>209</v>
      </c>
      <c r="I27" s="97"/>
      <c r="J27" s="97"/>
      <c r="K27" s="97"/>
      <c r="L27" s="97"/>
      <c r="M27" s="97"/>
      <c r="N27" s="97"/>
      <c r="O27" s="97"/>
      <c r="P27" s="97"/>
      <c r="Q27" s="97"/>
    </row>
    <row r="28" spans="1:17" x14ac:dyDescent="0.2">
      <c r="A28" s="120">
        <v>42905</v>
      </c>
      <c r="B28" s="114"/>
      <c r="C28" s="113"/>
      <c r="D28" s="92">
        <v>13.13</v>
      </c>
      <c r="E28" s="93">
        <v>2.8043981481481479E-2</v>
      </c>
      <c r="F28" s="98">
        <v>19.510000000000002</v>
      </c>
      <c r="G28" s="94">
        <v>125</v>
      </c>
      <c r="H28" s="88"/>
      <c r="I28" s="97"/>
      <c r="J28" s="97"/>
      <c r="K28" s="97"/>
      <c r="L28" s="97"/>
      <c r="M28" s="97"/>
      <c r="N28" s="97"/>
      <c r="O28" s="97"/>
      <c r="P28" s="97"/>
      <c r="Q28" s="97"/>
    </row>
    <row r="29" spans="1:17" x14ac:dyDescent="0.2">
      <c r="A29" s="120">
        <v>42906</v>
      </c>
      <c r="B29" s="114"/>
      <c r="C29" s="113"/>
      <c r="D29" s="92">
        <v>12.87</v>
      </c>
      <c r="E29" s="93">
        <v>2.5578703703703704E-2</v>
      </c>
      <c r="F29" s="98">
        <v>20.96</v>
      </c>
      <c r="G29" s="94">
        <v>98</v>
      </c>
      <c r="H29" s="88"/>
      <c r="I29" s="97"/>
      <c r="K29" s="97"/>
      <c r="M29" s="97"/>
      <c r="O29" s="97"/>
      <c r="Q29" s="97"/>
    </row>
    <row r="30" spans="1:17" x14ac:dyDescent="0.2">
      <c r="A30" s="120">
        <v>42907</v>
      </c>
      <c r="B30" s="114"/>
      <c r="C30" s="113"/>
      <c r="D30" s="92">
        <v>13.18</v>
      </c>
      <c r="E30" s="93">
        <v>2.8229166666666666E-2</v>
      </c>
      <c r="F30" s="98">
        <v>19.45</v>
      </c>
      <c r="G30" s="94">
        <v>125</v>
      </c>
      <c r="H30" s="97"/>
      <c r="I30" s="97"/>
      <c r="K30" s="97"/>
      <c r="M30" s="97"/>
      <c r="O30" s="97"/>
      <c r="Q30" s="97"/>
    </row>
    <row r="31" spans="1:17" x14ac:dyDescent="0.2">
      <c r="A31" s="120">
        <v>42916</v>
      </c>
      <c r="B31" s="114"/>
      <c r="C31" s="113"/>
      <c r="D31" s="92">
        <v>18.829999999999998</v>
      </c>
      <c r="E31" s="93">
        <v>4.5347222222222226E-2</v>
      </c>
      <c r="F31" s="98">
        <v>17.309999999999999</v>
      </c>
      <c r="G31" s="94">
        <v>64</v>
      </c>
      <c r="H31" s="119"/>
      <c r="I31" s="97"/>
      <c r="J31" s="97"/>
      <c r="K31" s="97"/>
      <c r="L31" s="97"/>
      <c r="M31" s="97"/>
      <c r="N31" s="97"/>
      <c r="O31" s="97"/>
      <c r="P31" s="97"/>
      <c r="Q31" s="97"/>
    </row>
    <row r="32" spans="1:17" x14ac:dyDescent="0.2">
      <c r="A32" s="122">
        <v>42917</v>
      </c>
      <c r="B32" s="123" t="s">
        <v>225</v>
      </c>
      <c r="C32" s="124"/>
      <c r="D32" s="125">
        <v>72.400000000000006</v>
      </c>
      <c r="E32" s="126">
        <v>0.18694444444444444</v>
      </c>
      <c r="F32" s="151">
        <v>16.13</v>
      </c>
      <c r="G32" s="132">
        <v>1068</v>
      </c>
      <c r="I32" s="97"/>
      <c r="J32" s="97"/>
      <c r="K32" s="184"/>
      <c r="L32" s="184"/>
      <c r="M32" s="36"/>
      <c r="N32" s="36"/>
      <c r="O32" s="184"/>
      <c r="P32" s="90"/>
      <c r="Q32" s="36"/>
    </row>
    <row r="33" spans="1:17" x14ac:dyDescent="0.2">
      <c r="A33" s="127">
        <v>42918</v>
      </c>
      <c r="B33" s="123" t="s">
        <v>226</v>
      </c>
      <c r="C33" s="124"/>
      <c r="D33" s="125">
        <v>84.02</v>
      </c>
      <c r="E33" s="126">
        <v>0.21232638888888888</v>
      </c>
      <c r="F33" s="151">
        <v>16.48</v>
      </c>
      <c r="G33" s="132">
        <v>1241</v>
      </c>
      <c r="H33" s="88"/>
      <c r="I33" s="97"/>
      <c r="J33" s="97"/>
      <c r="K33" s="184"/>
      <c r="L33" s="184"/>
      <c r="M33" s="36"/>
      <c r="N33" s="36"/>
      <c r="O33" s="185"/>
      <c r="P33" s="36"/>
      <c r="Q33" s="36"/>
    </row>
    <row r="34" spans="1:17" x14ac:dyDescent="0.2">
      <c r="A34" s="127">
        <v>42919</v>
      </c>
      <c r="B34" s="123" t="s">
        <v>227</v>
      </c>
      <c r="C34" s="124"/>
      <c r="D34" s="125">
        <v>90.38</v>
      </c>
      <c r="E34" s="128">
        <v>0.25504629629629633</v>
      </c>
      <c r="F34" s="151">
        <v>14.75</v>
      </c>
      <c r="G34" s="132">
        <v>1603</v>
      </c>
      <c r="H34" s="119"/>
      <c r="I34" s="97"/>
      <c r="J34" s="97"/>
      <c r="K34" s="184"/>
      <c r="L34" s="184"/>
      <c r="M34" s="36"/>
      <c r="N34" s="36"/>
      <c r="O34" s="36"/>
      <c r="P34" s="36"/>
      <c r="Q34" s="36"/>
    </row>
    <row r="35" spans="1:17" x14ac:dyDescent="0.2">
      <c r="A35" s="127">
        <v>42920</v>
      </c>
      <c r="B35" s="123" t="s">
        <v>228</v>
      </c>
      <c r="C35" s="124"/>
      <c r="D35" s="125">
        <v>83.89</v>
      </c>
      <c r="E35" s="126">
        <v>0.20744212962962963</v>
      </c>
      <c r="F35" s="151">
        <v>15.7</v>
      </c>
      <c r="G35" s="132">
        <v>953</v>
      </c>
      <c r="I35" s="97"/>
      <c r="J35" s="97"/>
      <c r="K35" s="184"/>
      <c r="L35" s="184"/>
      <c r="M35" s="36"/>
      <c r="N35" s="36"/>
      <c r="O35" s="36"/>
      <c r="P35" s="36"/>
      <c r="Q35" s="36"/>
    </row>
    <row r="36" spans="1:17" x14ac:dyDescent="0.2">
      <c r="A36" s="120">
        <v>42929</v>
      </c>
      <c r="B36" s="114"/>
      <c r="C36" s="113"/>
      <c r="D36" s="92">
        <v>44.55</v>
      </c>
      <c r="E36" s="93">
        <v>9.9421296296296299E-2</v>
      </c>
      <c r="F36" s="98">
        <v>18.670000000000002</v>
      </c>
      <c r="G36" s="94">
        <v>540</v>
      </c>
      <c r="H36" s="88"/>
      <c r="I36" s="249"/>
      <c r="J36" s="97"/>
      <c r="K36" s="36"/>
      <c r="L36" s="184"/>
      <c r="M36" s="36"/>
      <c r="N36" s="36"/>
      <c r="O36" s="36"/>
      <c r="P36" s="36"/>
      <c r="Q36" s="36"/>
    </row>
    <row r="37" spans="1:17" x14ac:dyDescent="0.2">
      <c r="A37" s="12">
        <v>42934</v>
      </c>
      <c r="B37" s="113"/>
      <c r="C37" s="113"/>
      <c r="D37" s="92">
        <v>13.42</v>
      </c>
      <c r="E37" s="93">
        <v>2.8946759259259255E-2</v>
      </c>
      <c r="F37" s="98">
        <v>19.309999999999999</v>
      </c>
      <c r="G37" s="94">
        <v>126</v>
      </c>
      <c r="H37" s="97"/>
      <c r="J37" s="97"/>
      <c r="K37" s="185"/>
      <c r="L37" s="185"/>
      <c r="M37" s="36"/>
      <c r="N37" s="36"/>
      <c r="O37" s="36"/>
      <c r="P37" s="36"/>
      <c r="Q37" s="36"/>
    </row>
    <row r="38" spans="1:17" x14ac:dyDescent="0.2">
      <c r="A38" s="121">
        <v>42937</v>
      </c>
      <c r="B38" s="113"/>
      <c r="C38" s="113"/>
      <c r="D38" s="92">
        <v>27.87</v>
      </c>
      <c r="E38" s="93">
        <v>5.5763888888888891E-2</v>
      </c>
      <c r="F38" s="98">
        <v>20.82</v>
      </c>
      <c r="G38" s="94">
        <v>152</v>
      </c>
      <c r="H38" s="97"/>
      <c r="J38" s="97"/>
      <c r="K38" s="36"/>
      <c r="L38" s="36"/>
      <c r="M38" s="36"/>
      <c r="N38" s="36"/>
      <c r="O38" s="36"/>
      <c r="P38" s="36"/>
      <c r="Q38" s="36"/>
    </row>
    <row r="39" spans="1:17" x14ac:dyDescent="0.2">
      <c r="A39" s="121">
        <v>42942</v>
      </c>
      <c r="B39" s="114"/>
      <c r="C39" s="113"/>
      <c r="D39" s="92">
        <v>13.62</v>
      </c>
      <c r="E39" s="93">
        <v>2.9340277777777781E-2</v>
      </c>
      <c r="F39" s="98">
        <v>19.34</v>
      </c>
      <c r="G39" s="94">
        <v>130</v>
      </c>
      <c r="H39" s="97"/>
      <c r="I39" s="97"/>
      <c r="J39" s="97"/>
    </row>
    <row r="40" spans="1:17" x14ac:dyDescent="0.2">
      <c r="A40" s="121">
        <v>42947</v>
      </c>
      <c r="B40" s="114"/>
      <c r="C40" s="113"/>
      <c r="D40" s="92">
        <v>13.84</v>
      </c>
      <c r="E40" s="93">
        <v>3.0023148148148149E-2</v>
      </c>
      <c r="F40" s="98">
        <v>19.21</v>
      </c>
      <c r="G40" s="94">
        <v>125</v>
      </c>
      <c r="H40" s="97"/>
      <c r="I40" s="97"/>
      <c r="J40" s="97"/>
    </row>
    <row r="41" spans="1:17" x14ac:dyDescent="0.2">
      <c r="A41" s="121">
        <v>42948</v>
      </c>
      <c r="B41" s="114"/>
      <c r="C41" s="113"/>
      <c r="D41" s="92">
        <v>33.299999999999997</v>
      </c>
      <c r="E41" s="93">
        <v>6.5324074074074076E-2</v>
      </c>
      <c r="F41" s="98">
        <v>21.24</v>
      </c>
      <c r="G41" s="94">
        <v>176</v>
      </c>
      <c r="H41" s="97"/>
      <c r="I41" s="97"/>
      <c r="J41" s="97"/>
    </row>
    <row r="42" spans="1:17" x14ac:dyDescent="0.2">
      <c r="A42" s="121">
        <v>42949</v>
      </c>
      <c r="B42" s="114"/>
      <c r="C42" s="113"/>
      <c r="D42" s="92">
        <v>15.17</v>
      </c>
      <c r="E42" s="93">
        <v>3.259259259259259E-2</v>
      </c>
      <c r="F42" s="98">
        <v>19.39</v>
      </c>
      <c r="G42" s="94">
        <v>133</v>
      </c>
      <c r="H42" s="97"/>
      <c r="I42" s="97"/>
      <c r="J42" s="97"/>
    </row>
    <row r="43" spans="1:17" x14ac:dyDescent="0.2">
      <c r="A43" s="121">
        <v>42950</v>
      </c>
      <c r="B43" s="113"/>
      <c r="C43" s="113"/>
      <c r="D43" s="92">
        <v>33.729999999999997</v>
      </c>
      <c r="E43" s="93">
        <v>6.340277777777778E-2</v>
      </c>
      <c r="F43" s="98">
        <v>22.16</v>
      </c>
      <c r="G43" s="94">
        <v>169</v>
      </c>
      <c r="H43" s="97"/>
      <c r="I43" s="97"/>
      <c r="J43" s="97"/>
    </row>
    <row r="44" spans="1:17" ht="15" x14ac:dyDescent="0.25">
      <c r="A44" s="121">
        <v>42951</v>
      </c>
      <c r="B44" s="113"/>
      <c r="C44" s="113"/>
      <c r="D44" s="92">
        <v>13.18</v>
      </c>
      <c r="E44" s="93">
        <v>2.6550925925925926E-2</v>
      </c>
      <c r="F44" s="98">
        <v>20.68</v>
      </c>
      <c r="G44" s="94">
        <v>125</v>
      </c>
      <c r="H44" s="95"/>
      <c r="I44" s="96"/>
      <c r="J44" s="97"/>
    </row>
    <row r="45" spans="1:17" x14ac:dyDescent="0.2">
      <c r="A45" s="121">
        <v>42952</v>
      </c>
      <c r="B45" s="113"/>
      <c r="C45" s="113"/>
      <c r="D45" s="92">
        <v>41.01</v>
      </c>
      <c r="E45" s="93">
        <v>0.11518518518518518</v>
      </c>
      <c r="F45" s="98">
        <v>14.83</v>
      </c>
      <c r="G45" s="94">
        <v>657</v>
      </c>
      <c r="H45" s="97"/>
      <c r="I45" s="97"/>
      <c r="J45" s="97"/>
    </row>
    <row r="46" spans="1:17" x14ac:dyDescent="0.2">
      <c r="A46" s="121">
        <v>42953</v>
      </c>
      <c r="B46" s="113"/>
      <c r="C46" s="113"/>
      <c r="D46" s="92">
        <v>57.44</v>
      </c>
      <c r="E46" s="93">
        <v>0.11887731481481482</v>
      </c>
      <c r="F46" s="98">
        <v>20.13</v>
      </c>
      <c r="G46" s="94">
        <v>562</v>
      </c>
      <c r="H46" s="97"/>
      <c r="I46" s="97"/>
      <c r="J46" s="97"/>
      <c r="N46" s="13"/>
    </row>
    <row r="47" spans="1:17" ht="15" x14ac:dyDescent="0.25">
      <c r="A47" s="121">
        <v>42961</v>
      </c>
      <c r="B47" s="114"/>
      <c r="C47" s="113"/>
      <c r="D47" s="92">
        <v>13.22</v>
      </c>
      <c r="E47" s="93">
        <v>2.8611111111111115E-2</v>
      </c>
      <c r="F47" s="98">
        <v>19.27</v>
      </c>
      <c r="G47" s="94">
        <v>130</v>
      </c>
      <c r="H47" s="95"/>
      <c r="I47" s="96"/>
      <c r="J47" s="97"/>
    </row>
    <row r="48" spans="1:17" x14ac:dyDescent="0.2">
      <c r="A48" s="121">
        <v>42964</v>
      </c>
      <c r="B48" s="114"/>
      <c r="C48" s="113"/>
      <c r="D48" s="92">
        <v>33.01</v>
      </c>
      <c r="E48" s="93">
        <v>6.2916666666666662E-2</v>
      </c>
      <c r="F48" s="183">
        <v>21.86</v>
      </c>
      <c r="G48" s="94">
        <v>161</v>
      </c>
      <c r="H48" s="97"/>
      <c r="I48" s="97"/>
      <c r="J48" s="97"/>
    </row>
    <row r="49" spans="1:10" x14ac:dyDescent="0.2">
      <c r="A49" s="121">
        <v>42968</v>
      </c>
      <c r="B49" s="613" t="s">
        <v>255</v>
      </c>
      <c r="C49" s="113"/>
      <c r="D49" s="92">
        <v>28.13</v>
      </c>
      <c r="E49" s="93">
        <v>5.4895833333333331E-2</v>
      </c>
      <c r="F49" s="98">
        <v>21.35</v>
      </c>
      <c r="G49" s="94">
        <v>264</v>
      </c>
      <c r="H49" s="97"/>
      <c r="I49" s="97"/>
      <c r="J49" s="97"/>
    </row>
    <row r="50" spans="1:10" x14ac:dyDescent="0.2">
      <c r="A50" s="121">
        <v>42969</v>
      </c>
      <c r="B50" s="614"/>
      <c r="C50" s="113"/>
      <c r="D50" s="92">
        <v>28.25</v>
      </c>
      <c r="E50" s="93">
        <v>5.3483796296296293E-2</v>
      </c>
      <c r="F50" s="98">
        <v>22.01</v>
      </c>
      <c r="G50" s="94">
        <v>260</v>
      </c>
      <c r="H50" s="99"/>
      <c r="I50" s="100"/>
      <c r="J50" s="97"/>
    </row>
    <row r="51" spans="1:10" x14ac:dyDescent="0.2">
      <c r="A51" s="121">
        <v>42970</v>
      </c>
      <c r="B51" s="615"/>
      <c r="C51" s="113"/>
      <c r="D51" s="92">
        <v>33.549999999999997</v>
      </c>
      <c r="E51" s="93">
        <v>5.7766203703703702E-2</v>
      </c>
      <c r="F51" s="98">
        <v>24.2</v>
      </c>
      <c r="G51" s="94">
        <v>188</v>
      </c>
      <c r="H51" s="88"/>
      <c r="I51" s="97"/>
      <c r="J51" s="97"/>
    </row>
    <row r="52" spans="1:10" x14ac:dyDescent="0.2">
      <c r="A52" s="137">
        <v>42975</v>
      </c>
      <c r="B52" s="144"/>
      <c r="C52" s="140"/>
      <c r="D52" s="92">
        <v>20.97</v>
      </c>
      <c r="E52" s="93">
        <v>4.3564814814814813E-2</v>
      </c>
      <c r="F52" s="98">
        <v>20.059999999999999</v>
      </c>
      <c r="G52" s="94">
        <v>196</v>
      </c>
      <c r="H52" s="88"/>
      <c r="I52" s="97"/>
      <c r="J52" s="134"/>
    </row>
    <row r="53" spans="1:10" x14ac:dyDescent="0.2">
      <c r="A53" s="137">
        <v>42976</v>
      </c>
      <c r="B53" s="144"/>
      <c r="C53" s="140"/>
      <c r="D53" s="92">
        <v>48.93</v>
      </c>
      <c r="E53" s="93">
        <v>0.10506944444444444</v>
      </c>
      <c r="F53" s="98">
        <v>19.399999999999999</v>
      </c>
      <c r="G53" s="94">
        <v>568</v>
      </c>
      <c r="H53" s="88"/>
      <c r="I53" s="97"/>
      <c r="J53" s="97"/>
    </row>
    <row r="54" spans="1:10" x14ac:dyDescent="0.2">
      <c r="A54" s="121">
        <v>42977</v>
      </c>
      <c r="B54" s="113"/>
      <c r="C54" s="113"/>
      <c r="D54" s="92">
        <v>29.78</v>
      </c>
      <c r="E54" s="93">
        <v>6.5659722222222217E-2</v>
      </c>
      <c r="F54" s="98">
        <v>18.899999999999999</v>
      </c>
      <c r="G54" s="94">
        <v>292</v>
      </c>
      <c r="H54" s="97"/>
      <c r="J54" s="97"/>
    </row>
    <row r="55" spans="1:10" x14ac:dyDescent="0.2">
      <c r="A55" s="121">
        <v>42978</v>
      </c>
      <c r="B55" s="113"/>
      <c r="C55" s="113"/>
      <c r="D55" s="92">
        <v>33.340000000000003</v>
      </c>
      <c r="E55" s="93">
        <v>6.5798611111111113E-2</v>
      </c>
      <c r="F55" s="98">
        <v>21.11</v>
      </c>
      <c r="G55" s="94">
        <v>174</v>
      </c>
      <c r="H55" s="97"/>
      <c r="I55" s="97"/>
      <c r="J55" s="97"/>
    </row>
    <row r="56" spans="1:10" x14ac:dyDescent="0.2">
      <c r="A56" s="121"/>
      <c r="B56" s="113"/>
      <c r="C56" s="113"/>
      <c r="D56" s="92"/>
      <c r="E56" s="93"/>
      <c r="F56" s="98"/>
      <c r="G56" s="94"/>
      <c r="H56" s="97"/>
      <c r="I56" s="97"/>
      <c r="J56" s="97"/>
    </row>
    <row r="57" spans="1:10" x14ac:dyDescent="0.2">
      <c r="A57" s="137"/>
      <c r="B57" s="144"/>
      <c r="C57" s="140"/>
      <c r="D57" s="92"/>
      <c r="E57" s="93"/>
      <c r="F57" s="98"/>
      <c r="G57" s="94"/>
      <c r="H57" s="97"/>
      <c r="I57" s="97"/>
      <c r="J57" s="134"/>
    </row>
    <row r="58" spans="1:10" x14ac:dyDescent="0.2">
      <c r="A58" s="121"/>
      <c r="B58" s="113"/>
      <c r="C58" s="113"/>
      <c r="D58" s="92"/>
      <c r="E58" s="93"/>
      <c r="F58" s="98"/>
      <c r="G58" s="94"/>
      <c r="H58" s="97"/>
      <c r="I58" s="97"/>
      <c r="J58" s="97"/>
    </row>
    <row r="59" spans="1:10" x14ac:dyDescent="0.2">
      <c r="A59" s="121"/>
      <c r="B59" s="114"/>
      <c r="C59" s="113"/>
      <c r="D59" s="92"/>
      <c r="E59" s="93"/>
      <c r="F59" s="98"/>
      <c r="G59" s="94"/>
      <c r="H59" s="97"/>
      <c r="I59" s="97"/>
      <c r="J59" s="97"/>
    </row>
    <row r="60" spans="1:10" x14ac:dyDescent="0.2">
      <c r="A60" s="121"/>
      <c r="B60" s="113"/>
      <c r="C60" s="113"/>
      <c r="D60" s="92"/>
      <c r="E60" s="93"/>
      <c r="F60" s="98"/>
      <c r="G60" s="94"/>
      <c r="H60" s="97"/>
      <c r="I60" s="97"/>
      <c r="J60" s="97"/>
    </row>
    <row r="61" spans="1:10" x14ac:dyDescent="0.2">
      <c r="A61" s="121"/>
      <c r="B61" s="135"/>
      <c r="C61" s="112"/>
      <c r="D61" s="51"/>
      <c r="E61" s="52"/>
      <c r="F61" s="149"/>
      <c r="G61" s="53"/>
    </row>
    <row r="62" spans="1:10" x14ac:dyDescent="0.2">
      <c r="A62" s="121"/>
      <c r="B62" s="115"/>
      <c r="C62" s="115"/>
      <c r="D62" s="51"/>
      <c r="E62" s="52"/>
      <c r="F62" s="51"/>
      <c r="G62" s="53"/>
    </row>
    <row r="63" spans="1:10" x14ac:dyDescent="0.2">
      <c r="A63" s="121"/>
      <c r="B63" s="153"/>
      <c r="C63" s="115"/>
      <c r="D63" s="51"/>
      <c r="E63" s="52"/>
      <c r="F63" s="51"/>
      <c r="G63" s="53"/>
    </row>
    <row r="64" spans="1:10" x14ac:dyDescent="0.2">
      <c r="A64" s="121"/>
      <c r="B64" s="153"/>
      <c r="C64" s="115"/>
      <c r="D64" s="51"/>
      <c r="E64" s="51"/>
      <c r="F64" s="51"/>
      <c r="G64" s="53"/>
    </row>
    <row r="65" spans="1:9" x14ac:dyDescent="0.2">
      <c r="A65" s="121"/>
      <c r="B65" s="115"/>
      <c r="C65" s="115"/>
      <c r="D65" s="51"/>
      <c r="E65" s="51"/>
      <c r="F65" s="51"/>
      <c r="G65" s="53"/>
    </row>
    <row r="66" spans="1:9" ht="13.5" thickBot="1" x14ac:dyDescent="0.25">
      <c r="A66" s="155"/>
      <c r="B66" s="116"/>
      <c r="C66" s="116"/>
      <c r="D66" s="57"/>
      <c r="E66" s="57"/>
      <c r="F66" s="57"/>
      <c r="G66" s="58"/>
    </row>
    <row r="67" spans="1:9" x14ac:dyDescent="0.2">
      <c r="D67">
        <f>SUM(D2:D66)</f>
        <v>1660.56</v>
      </c>
      <c r="E67" s="17">
        <f>SUM(E2:E62)</f>
        <v>6.0966666666666658</v>
      </c>
      <c r="F67" s="33">
        <f>AVERAGE(F2:F66)</f>
        <v>19.443333333333335</v>
      </c>
      <c r="G67">
        <f>SUM(G2:G66)</f>
        <v>19000</v>
      </c>
      <c r="H67" t="s">
        <v>90</v>
      </c>
      <c r="I67">
        <f>SUM(I2:I66)</f>
        <v>7219</v>
      </c>
    </row>
    <row r="68" spans="1:9" x14ac:dyDescent="0.2">
      <c r="I68" s="33">
        <f>I67/D67</f>
        <v>4.3473286120344943</v>
      </c>
    </row>
    <row r="70" spans="1:9" x14ac:dyDescent="0.2">
      <c r="C70" s="156" t="s">
        <v>203</v>
      </c>
      <c r="D70" s="156" t="s">
        <v>202</v>
      </c>
    </row>
    <row r="71" spans="1:9" x14ac:dyDescent="0.2">
      <c r="B71" s="32" t="s">
        <v>178</v>
      </c>
      <c r="C71">
        <f>SUMIFS($D$2:$D$55,$A$2:$A$55,"&lt;1.2.2017")</f>
        <v>0</v>
      </c>
      <c r="D71">
        <f>COUNTIFS($A$2:$A$66,"&gt;=1.1.2017",$A$2:$A$66,"&lt;=31.1.2017")</f>
        <v>0</v>
      </c>
    </row>
    <row r="72" spans="1:9" x14ac:dyDescent="0.2">
      <c r="B72" s="32" t="s">
        <v>179</v>
      </c>
      <c r="C72">
        <f>SUMIFS($D$2:$D$55,$A$2:$A$55,"&lt;1.3.2017")-SUMIFS($D$2:$D$55,$A$2:$A$55,"&lt;1.2.2017")</f>
        <v>23.490000000000002</v>
      </c>
      <c r="D72">
        <f>COUNTIFS($A$2:$A$66,"&gt;=1.2.2017",$A$2:$A$66,"&lt;=28.2.2017")</f>
        <v>2</v>
      </c>
      <c r="F72" s="97"/>
    </row>
    <row r="73" spans="1:9" x14ac:dyDescent="0.2">
      <c r="B73" s="32" t="s">
        <v>180</v>
      </c>
      <c r="C73">
        <f>SUMIFS($D$2:$D$55,$A$2:$A$55,"&lt;1.4.2017")-SUMIFS($D$2:$D$55,$A$2:$A$55,"&lt;1.3.2017")</f>
        <v>109.80999999999997</v>
      </c>
      <c r="D73">
        <f>COUNTIFS($A$2:$A$66,"&gt;=1.3.2017",$A$2:$A$66,"&lt;=31.3.2017")</f>
        <v>5</v>
      </c>
    </row>
    <row r="74" spans="1:9" x14ac:dyDescent="0.2">
      <c r="B74" s="32" t="s">
        <v>181</v>
      </c>
      <c r="C74">
        <f>SUMIFS($D$2:$D$55,$A$2:$A$55,"&lt;1.5.2017")-SUMIFS($D$2:$D$55,$A$2:$A$55,"&lt;1.4.2017")</f>
        <v>34.680000000000007</v>
      </c>
      <c r="D74">
        <f>COUNTIFS($A$2:$A$66,"&gt;=1.4.2017",$A$2:$A$66,"&lt;=30.4.2017")</f>
        <v>1</v>
      </c>
      <c r="F74" s="33"/>
    </row>
    <row r="75" spans="1:9" x14ac:dyDescent="0.2">
      <c r="B75" s="32" t="s">
        <v>182</v>
      </c>
      <c r="C75">
        <f>SUMIFS($D$2:$D$55,$A$2:$A$55,"&lt;1.6.2017")-SUMIFS($D$2:$D$55,$A$2:$A$55,"&lt;1.5.2017")</f>
        <v>374.40999999999997</v>
      </c>
      <c r="D75">
        <f>COUNTIFS($A$2:$A$66,"&gt;=1.5.2017",$A$2:$A$66,"&lt;=31.5.2017")</f>
        <v>12</v>
      </c>
    </row>
    <row r="76" spans="1:9" x14ac:dyDescent="0.2">
      <c r="B76" s="32" t="s">
        <v>183</v>
      </c>
      <c r="C76">
        <f>SUMIFS($D$2:$D$55,$A$2:$A$55,"&lt;1.7.2017")-SUMIFS($D$2:$D$55,$A$2:$A$55,"&lt;1.6.2017")</f>
        <v>211.16999999999996</v>
      </c>
      <c r="D76">
        <f>COUNTIFS($A$2:$A$66,"&gt;=1.6.2017",$A$2:$A$66,"&lt;=30.6.2017")</f>
        <v>10</v>
      </c>
    </row>
    <row r="77" spans="1:9" x14ac:dyDescent="0.2">
      <c r="B77" s="32" t="s">
        <v>184</v>
      </c>
      <c r="C77">
        <f>SUMIFS($D$2:$D$55,$A$2:$A$55,"&lt;1.8.2017")-SUMIFS($D$2:$D$55,$A$2:$A$55,"&lt;1.7.2017")</f>
        <v>443.98999999999978</v>
      </c>
      <c r="D77">
        <f>COUNTIFS($A$2:$A$66,"&gt;=1.7.2017",$A$2:$A$66,"&lt;=31.7.2017")</f>
        <v>9</v>
      </c>
    </row>
    <row r="78" spans="1:9" x14ac:dyDescent="0.2">
      <c r="B78" s="32" t="s">
        <v>185</v>
      </c>
      <c r="C78">
        <f>SUMIFS($D$2:$D$55,$A$2:$A$55,"&lt;1.9.2017")-SUMIFS($D$2:$D$55,$A$2:$A$55,"&lt;1.8.2017")</f>
        <v>463.01000000000022</v>
      </c>
      <c r="D78">
        <f>COUNTIFS($A$2:$A$66,"&gt;=1.8.2017",$A$2:$A$66,"&lt;=31.8.2017")</f>
        <v>15</v>
      </c>
    </row>
    <row r="79" spans="1:9" x14ac:dyDescent="0.2">
      <c r="B79" s="32" t="s">
        <v>186</v>
      </c>
      <c r="C79">
        <f>SUMIFS(D:D,A:A,"&lt;1.10.2017")-SUMIFS(D:D,A:A,"&lt;1.9.2017")</f>
        <v>0</v>
      </c>
      <c r="D79">
        <f>COUNTIFS($A$2:$A$66,"&gt;=1.9.2017",$A$2:$A$66,"&lt;=31.9.2017")</f>
        <v>0</v>
      </c>
    </row>
    <row r="80" spans="1:9" x14ac:dyDescent="0.2">
      <c r="B80" s="32" t="s">
        <v>187</v>
      </c>
      <c r="C80">
        <f>SUMIFS(D:D,A:A,"&lt;1.11.2017")-SUMIFS(D:D,A:A,"&lt;1.10.2017")</f>
        <v>0</v>
      </c>
      <c r="D80">
        <f>COUNTIFS($A$2:$A$66,"&gt;=1.10.2017",$A$2:$A$66,"&lt;=31.8.2017")</f>
        <v>0</v>
      </c>
    </row>
    <row r="81" spans="2:4" x14ac:dyDescent="0.2">
      <c r="B81" s="32" t="s">
        <v>188</v>
      </c>
      <c r="C81">
        <f>SUMIFS(D:D,A:A,"&lt;1.12.2017")-SUMIFS(D:D,A:A,"&lt;1.11.2017")</f>
        <v>0</v>
      </c>
      <c r="D81">
        <f>COUNTIFS($A$2:$A$66,"&gt;=1.11.2017",$A$2:$A$66,"&lt;=30.11.2017")</f>
        <v>0</v>
      </c>
    </row>
    <row r="82" spans="2:4" x14ac:dyDescent="0.2">
      <c r="B82" s="32" t="s">
        <v>189</v>
      </c>
      <c r="C82">
        <f>SUMIFS(D:D,A:A,"&lt;31.12.2017")-SUMIFS(D:D,A:A,"&lt;1.11.2017")</f>
        <v>0</v>
      </c>
      <c r="D82">
        <f>COUNTIFS($A$2:$A$66,"&gt;=1.12.2017",$A$2:$A$66,"&lt;=31.12.2017")</f>
        <v>0</v>
      </c>
    </row>
    <row r="83" spans="2:4" x14ac:dyDescent="0.2">
      <c r="B83"/>
      <c r="C83" s="97">
        <f>SUM(C71:C82)</f>
        <v>1660.56</v>
      </c>
      <c r="D83" s="97">
        <f>SUM(D71:D82)</f>
        <v>54</v>
      </c>
    </row>
    <row r="87" spans="2:4" x14ac:dyDescent="0.2">
      <c r="B87" s="136" t="s">
        <v>195</v>
      </c>
      <c r="C87" s="33">
        <f>SUMIFS($F$2:$F$66,$G$2:$G$66,"&lt;500")/COUNTIFS($G$2:$G$66,"&lt;500")</f>
        <v>20.190249999999999</v>
      </c>
    </row>
    <row r="88" spans="2:4" x14ac:dyDescent="0.2">
      <c r="B88" s="136" t="s">
        <v>196</v>
      </c>
      <c r="C88" s="33">
        <f>SUMIFS($F$2:$F$66,$G$2:$G$66,"&gt;500",$G$2:$G$66,"&lt;1000")/COUNTIFS($G$2:$G$66,"&gt;500",$G$2:$G$66,"&lt;1000")</f>
        <v>18.137</v>
      </c>
    </row>
    <row r="89" spans="2:4" x14ac:dyDescent="0.2">
      <c r="B89" s="136" t="s">
        <v>194</v>
      </c>
      <c r="C89" s="33">
        <f>SUMIFS($F$2:$F$66,$G$2:$G$66,"&gt;1000")/COUNTIFS($G$2:$G$66,"&gt;1000")</f>
        <v>15.239999999999998</v>
      </c>
    </row>
    <row r="90" spans="2:4" x14ac:dyDescent="0.2">
      <c r="D90" s="145"/>
    </row>
    <row r="91" spans="2:4" ht="13.5" thickBot="1" x14ac:dyDescent="0.25"/>
    <row r="92" spans="2:4" ht="15" thickBot="1" x14ac:dyDescent="0.25">
      <c r="B92" s="286" t="s">
        <v>278</v>
      </c>
      <c r="C92" s="287" t="s">
        <v>279</v>
      </c>
    </row>
    <row r="93" spans="2:4" x14ac:dyDescent="0.2">
      <c r="B93" s="281" t="s">
        <v>277</v>
      </c>
      <c r="C93" s="282">
        <f>COUNTIFS($D$2:$D$111,"=&lt;10")</f>
        <v>0</v>
      </c>
    </row>
    <row r="94" spans="2:4" x14ac:dyDescent="0.2">
      <c r="B94" s="283" t="s">
        <v>274</v>
      </c>
      <c r="C94" s="280">
        <f>COUNTIFS($D$2:$D$66,"&gt;=10",$D$2:$D$66,"&lt;=20")</f>
        <v>21</v>
      </c>
    </row>
    <row r="95" spans="2:4" x14ac:dyDescent="0.2">
      <c r="B95" s="283" t="s">
        <v>266</v>
      </c>
      <c r="C95" s="280">
        <f>COUNTIFS($D$2:$D$111,"&gt;=20",$D$2:$D$111,"&lt;=30")</f>
        <v>12</v>
      </c>
    </row>
    <row r="96" spans="2:4" x14ac:dyDescent="0.2">
      <c r="B96" s="283" t="s">
        <v>268</v>
      </c>
      <c r="C96" s="280">
        <f>COUNTIFS($D$2:$D$66,"&gt;=30",$D$2:$D$66,"&lt;=40")</f>
        <v>7</v>
      </c>
    </row>
    <row r="97" spans="2:3" x14ac:dyDescent="0.2">
      <c r="B97" s="283" t="s">
        <v>267</v>
      </c>
      <c r="C97" s="280">
        <f>COUNTIFS($D$2:$D$111,"&gt;=40",$D$2:$D$111,"&lt;=50")</f>
        <v>6</v>
      </c>
    </row>
    <row r="98" spans="2:3" x14ac:dyDescent="0.2">
      <c r="B98" s="283" t="s">
        <v>269</v>
      </c>
      <c r="C98" s="280">
        <f>COUNTIFS($D$2:$D$66,"&gt;=50",$D$2:$D$66,"&lt;=60")</f>
        <v>3</v>
      </c>
    </row>
    <row r="99" spans="2:3" x14ac:dyDescent="0.2">
      <c r="B99" s="283" t="s">
        <v>270</v>
      </c>
      <c r="C99" s="280">
        <f>COUNTIFS($D$2:$D$111,"&gt;=60",$D$2:$D$111,"&lt;=70")</f>
        <v>1</v>
      </c>
    </row>
    <row r="100" spans="2:3" x14ac:dyDescent="0.2">
      <c r="B100" s="283" t="s">
        <v>271</v>
      </c>
      <c r="C100" s="280">
        <f>COUNTIFS($D$2:$D$111,"&gt;=70",$D$2:$D$111,"&lt;=80")</f>
        <v>1</v>
      </c>
    </row>
    <row r="101" spans="2:3" x14ac:dyDescent="0.2">
      <c r="B101" s="283" t="s">
        <v>272</v>
      </c>
      <c r="C101" s="280">
        <f>COUNTIFS($D$2:$D$111,"&gt;=80",$D$2:$D$111,"&lt;=90")</f>
        <v>2</v>
      </c>
    </row>
    <row r="102" spans="2:3" x14ac:dyDescent="0.2">
      <c r="B102" s="283" t="s">
        <v>273</v>
      </c>
      <c r="C102" s="280">
        <f>COUNTIFS($D$2:$D$111,"&gt;=90",$D$2:$D$111,"&lt;=100")</f>
        <v>1</v>
      </c>
    </row>
    <row r="103" spans="2:3" x14ac:dyDescent="0.2">
      <c r="B103" s="283" t="s">
        <v>275</v>
      </c>
      <c r="C103" s="280">
        <f>COUNTIFS($D$2:$D$111,"&gt;=100",$D$2:$D$111,"&lt;=110")</f>
        <v>0</v>
      </c>
    </row>
    <row r="104" spans="2:3" ht="13.5" thickBot="1" x14ac:dyDescent="0.25">
      <c r="B104" s="284" t="s">
        <v>276</v>
      </c>
      <c r="C104" s="285">
        <f>COUNTIFS($D$2:$D$111,"&gt;=110",$D$2:$D$111,"&lt;=150")</f>
        <v>0</v>
      </c>
    </row>
    <row r="105" spans="2:3" x14ac:dyDescent="0.2">
      <c r="C105" s="117">
        <f>SUM(C93:C104)</f>
        <v>54</v>
      </c>
    </row>
  </sheetData>
  <mergeCells count="1">
    <mergeCell ref="B49:B51"/>
  </mergeCells>
  <pageMargins left="0.7" right="0.7" top="0.78740157499999996" bottom="0.78740157499999996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05"/>
  <sheetViews>
    <sheetView topLeftCell="A46" workbookViewId="0">
      <selection activeCell="C110" sqref="C110"/>
    </sheetView>
  </sheetViews>
  <sheetFormatPr defaultRowHeight="12.75" x14ac:dyDescent="0.2"/>
  <cols>
    <col min="1" max="1" width="10.140625" bestFit="1" customWidth="1"/>
    <col min="2" max="2" width="30.5703125" style="117" bestFit="1" customWidth="1"/>
    <col min="3" max="3" width="26.85546875" style="117" bestFit="1" customWidth="1"/>
    <col min="4" max="4" width="17.7109375" bestFit="1" customWidth="1"/>
    <col min="5" max="5" width="11.42578125" bestFit="1" customWidth="1"/>
    <col min="6" max="6" width="17.7109375" bestFit="1" customWidth="1"/>
    <col min="7" max="7" width="17.5703125" bestFit="1" customWidth="1"/>
    <col min="8" max="8" width="16" customWidth="1"/>
    <col min="9" max="9" width="16.5703125" bestFit="1" customWidth="1"/>
    <col min="10" max="10" width="11.42578125" bestFit="1" customWidth="1"/>
  </cols>
  <sheetData>
    <row r="1" spans="1:9" ht="13.5" thickBot="1" x14ac:dyDescent="0.25">
      <c r="A1" s="63" t="s">
        <v>0</v>
      </c>
      <c r="B1" s="110" t="s">
        <v>151</v>
      </c>
      <c r="C1" s="110" t="s">
        <v>154</v>
      </c>
      <c r="D1" s="64" t="s">
        <v>143</v>
      </c>
      <c r="E1" s="64" t="s">
        <v>2</v>
      </c>
      <c r="F1" s="64" t="s">
        <v>3</v>
      </c>
      <c r="G1" s="65" t="s">
        <v>4</v>
      </c>
      <c r="H1" s="65" t="s">
        <v>145</v>
      </c>
      <c r="I1" s="65" t="s">
        <v>144</v>
      </c>
    </row>
    <row r="2" spans="1:9" x14ac:dyDescent="0.2">
      <c r="A2" s="129">
        <v>42383</v>
      </c>
      <c r="B2" s="111"/>
      <c r="C2" s="111"/>
      <c r="D2" s="60">
        <v>20.39</v>
      </c>
      <c r="E2" s="61">
        <v>5.2210648148148152E-2</v>
      </c>
      <c r="F2" s="148">
        <v>16.27</v>
      </c>
      <c r="G2" s="62">
        <v>255</v>
      </c>
      <c r="H2" t="s">
        <v>146</v>
      </c>
      <c r="I2" s="31">
        <v>13</v>
      </c>
    </row>
    <row r="3" spans="1:9" x14ac:dyDescent="0.2">
      <c r="A3" s="130">
        <v>42395</v>
      </c>
      <c r="B3" s="112"/>
      <c r="C3" s="112"/>
      <c r="D3" s="51">
        <v>19.54</v>
      </c>
      <c r="E3" s="52">
        <v>4.5833333333333337E-2</v>
      </c>
      <c r="F3" s="149">
        <v>17.760000000000002</v>
      </c>
      <c r="G3" s="53">
        <v>212</v>
      </c>
      <c r="H3" t="s">
        <v>148</v>
      </c>
      <c r="I3" s="109">
        <v>49</v>
      </c>
    </row>
    <row r="4" spans="1:9" x14ac:dyDescent="0.2">
      <c r="A4" s="130">
        <v>42397</v>
      </c>
      <c r="B4" s="112"/>
      <c r="C4" s="112"/>
      <c r="D4" s="51">
        <v>12.6</v>
      </c>
      <c r="E4" s="52">
        <v>2.7766203703703706E-2</v>
      </c>
      <c r="F4" s="149">
        <v>18.920000000000002</v>
      </c>
      <c r="G4" s="53">
        <v>126</v>
      </c>
      <c r="H4" t="s">
        <v>149</v>
      </c>
      <c r="I4" s="109">
        <v>25</v>
      </c>
    </row>
    <row r="5" spans="1:9" x14ac:dyDescent="0.2">
      <c r="A5" s="130">
        <v>42402</v>
      </c>
      <c r="B5" s="112"/>
      <c r="C5" s="112"/>
      <c r="D5" s="51">
        <v>11.47</v>
      </c>
      <c r="E5" s="52">
        <v>2.4537037037037038E-2</v>
      </c>
      <c r="F5" s="149">
        <v>19.739999999999998</v>
      </c>
      <c r="G5" s="53">
        <v>144</v>
      </c>
      <c r="H5" s="32" t="s">
        <v>156</v>
      </c>
      <c r="I5" s="109">
        <v>3140</v>
      </c>
    </row>
    <row r="6" spans="1:9" x14ac:dyDescent="0.2">
      <c r="A6" s="130">
        <v>42403</v>
      </c>
      <c r="B6" s="112"/>
      <c r="C6" s="112"/>
      <c r="D6" s="51">
        <v>5.78</v>
      </c>
      <c r="E6" s="52">
        <v>9.9537037037037042E-3</v>
      </c>
      <c r="F6" s="149">
        <v>26.8</v>
      </c>
      <c r="G6" s="53">
        <v>39</v>
      </c>
      <c r="H6" s="133" t="s">
        <v>156</v>
      </c>
      <c r="I6" s="109">
        <v>910</v>
      </c>
    </row>
    <row r="7" spans="1:9" x14ac:dyDescent="0.2">
      <c r="A7" s="130">
        <v>42408</v>
      </c>
      <c r="B7" s="112"/>
      <c r="C7" s="112"/>
      <c r="D7" s="51">
        <v>12.6</v>
      </c>
      <c r="E7" s="52">
        <v>2.8275462962962964E-2</v>
      </c>
      <c r="F7" s="149">
        <v>18.57</v>
      </c>
      <c r="G7" s="53">
        <v>132</v>
      </c>
      <c r="H7" s="133" t="s">
        <v>156</v>
      </c>
      <c r="I7" s="109">
        <v>2800</v>
      </c>
    </row>
    <row r="8" spans="1:9" x14ac:dyDescent="0.2">
      <c r="A8" s="130">
        <v>42409</v>
      </c>
      <c r="B8" s="112"/>
      <c r="C8" s="112"/>
      <c r="D8" s="51">
        <v>12.58</v>
      </c>
      <c r="E8" s="52">
        <v>2.7777777777777776E-2</v>
      </c>
      <c r="F8" s="149">
        <v>18.87</v>
      </c>
      <c r="G8" s="53">
        <v>266</v>
      </c>
    </row>
    <row r="9" spans="1:9" x14ac:dyDescent="0.2">
      <c r="A9" s="130">
        <v>42410</v>
      </c>
      <c r="B9" s="112"/>
      <c r="C9" s="112"/>
      <c r="D9" s="51">
        <v>13.86</v>
      </c>
      <c r="E9" s="52">
        <v>3.0081018518518521E-2</v>
      </c>
      <c r="F9" s="149">
        <v>19.21</v>
      </c>
      <c r="G9" s="53">
        <v>146</v>
      </c>
    </row>
    <row r="10" spans="1:9" x14ac:dyDescent="0.2">
      <c r="A10" s="130">
        <v>42469</v>
      </c>
      <c r="B10" s="112"/>
      <c r="C10" s="112"/>
      <c r="D10" s="51">
        <v>18.11</v>
      </c>
      <c r="E10" s="52">
        <v>4.8101851851851847E-2</v>
      </c>
      <c r="F10" s="149">
        <v>15.69</v>
      </c>
      <c r="G10" s="53">
        <v>302</v>
      </c>
    </row>
    <row r="11" spans="1:9" x14ac:dyDescent="0.2">
      <c r="A11" s="130">
        <v>42472</v>
      </c>
      <c r="B11" s="112"/>
      <c r="C11" s="112"/>
      <c r="D11" s="51">
        <v>12.24</v>
      </c>
      <c r="E11" s="52">
        <v>2.8414351851851847E-2</v>
      </c>
      <c r="F11" s="149">
        <v>17.95</v>
      </c>
      <c r="G11" s="53">
        <v>121</v>
      </c>
    </row>
    <row r="12" spans="1:9" x14ac:dyDescent="0.2">
      <c r="A12" s="130">
        <v>42472</v>
      </c>
      <c r="B12" s="112"/>
      <c r="C12" s="112"/>
      <c r="D12" s="51">
        <v>49.88</v>
      </c>
      <c r="E12" s="52">
        <v>0.10900462962962963</v>
      </c>
      <c r="F12" s="149">
        <v>18.829999999999998</v>
      </c>
      <c r="G12" s="53">
        <v>571</v>
      </c>
    </row>
    <row r="13" spans="1:9" x14ac:dyDescent="0.2">
      <c r="A13" s="130">
        <v>42473</v>
      </c>
      <c r="B13" s="112"/>
      <c r="C13" s="112"/>
      <c r="D13" s="51">
        <v>25.77</v>
      </c>
      <c r="E13" s="52">
        <v>5.486111111111111E-2</v>
      </c>
      <c r="F13" s="149">
        <v>19.440000000000001</v>
      </c>
      <c r="G13" s="53">
        <v>292</v>
      </c>
    </row>
    <row r="14" spans="1:9" x14ac:dyDescent="0.2">
      <c r="A14" s="130">
        <v>42479</v>
      </c>
      <c r="B14" s="112"/>
      <c r="C14" s="112"/>
      <c r="D14" s="51">
        <v>12.74</v>
      </c>
      <c r="E14" s="52">
        <v>2.8298611111111111E-2</v>
      </c>
      <c r="F14" s="149">
        <v>18.77</v>
      </c>
      <c r="G14" s="53">
        <v>131</v>
      </c>
    </row>
    <row r="15" spans="1:9" x14ac:dyDescent="0.2">
      <c r="A15" s="130">
        <v>42480</v>
      </c>
      <c r="B15" s="112"/>
      <c r="C15" s="112"/>
      <c r="D15" s="51">
        <v>16.32</v>
      </c>
      <c r="E15" s="52">
        <v>3.9699074074074074E-2</v>
      </c>
      <c r="F15" s="149">
        <v>17.13</v>
      </c>
      <c r="G15" s="53">
        <v>262</v>
      </c>
    </row>
    <row r="16" spans="1:9" x14ac:dyDescent="0.2">
      <c r="A16" s="130">
        <v>42481</v>
      </c>
      <c r="B16" s="112"/>
      <c r="C16" s="112"/>
      <c r="D16" s="51">
        <v>40.9</v>
      </c>
      <c r="E16" s="52">
        <v>8.3888888888888888E-2</v>
      </c>
      <c r="F16" s="149">
        <v>20.309999999999999</v>
      </c>
      <c r="G16" s="53">
        <v>425</v>
      </c>
    </row>
    <row r="17" spans="1:10" x14ac:dyDescent="0.2">
      <c r="A17" s="130">
        <v>42492</v>
      </c>
      <c r="B17" s="112"/>
      <c r="C17" s="112"/>
      <c r="D17" s="51">
        <v>11.29</v>
      </c>
      <c r="E17" s="52">
        <v>2.9143518518518517E-2</v>
      </c>
      <c r="F17" s="149">
        <v>16.100000000000001</v>
      </c>
      <c r="G17" s="53">
        <v>159</v>
      </c>
    </row>
    <row r="18" spans="1:10" x14ac:dyDescent="0.2">
      <c r="A18" s="130">
        <v>42493</v>
      </c>
      <c r="B18" s="112"/>
      <c r="C18" s="112"/>
      <c r="D18" s="51">
        <v>14</v>
      </c>
      <c r="E18" s="52">
        <v>3.2523148148148148E-2</v>
      </c>
      <c r="F18" s="149">
        <v>17.940000000000001</v>
      </c>
      <c r="G18" s="53">
        <v>135</v>
      </c>
    </row>
    <row r="19" spans="1:10" x14ac:dyDescent="0.2">
      <c r="A19" s="130">
        <v>42495</v>
      </c>
      <c r="B19" s="112"/>
      <c r="C19" s="112"/>
      <c r="D19" s="51">
        <v>17.47</v>
      </c>
      <c r="E19" s="52">
        <v>4.3935185185185188E-2</v>
      </c>
      <c r="F19" s="149">
        <v>16.559999999999999</v>
      </c>
      <c r="G19" s="53">
        <v>401</v>
      </c>
    </row>
    <row r="20" spans="1:10" x14ac:dyDescent="0.2">
      <c r="A20" s="130">
        <v>42499</v>
      </c>
      <c r="B20" s="112"/>
      <c r="C20" s="112"/>
      <c r="D20" s="51">
        <v>12.58</v>
      </c>
      <c r="E20" s="52">
        <v>2.9409722222222223E-2</v>
      </c>
      <c r="F20" s="149">
        <v>17.82</v>
      </c>
      <c r="G20" s="53">
        <v>124</v>
      </c>
    </row>
    <row r="21" spans="1:10" ht="15" x14ac:dyDescent="0.25">
      <c r="A21" s="121">
        <v>42501</v>
      </c>
      <c r="B21" s="113"/>
      <c r="C21" s="113"/>
      <c r="D21" s="92">
        <v>31.82</v>
      </c>
      <c r="E21" s="93">
        <v>2.9409722222222223E-2</v>
      </c>
      <c r="F21" s="98">
        <v>22.33</v>
      </c>
      <c r="G21" s="94">
        <v>218</v>
      </c>
      <c r="H21" s="95"/>
      <c r="I21" s="96"/>
    </row>
    <row r="22" spans="1:10" x14ac:dyDescent="0.2">
      <c r="A22" s="121">
        <v>42507</v>
      </c>
      <c r="B22" s="113"/>
      <c r="C22" s="113"/>
      <c r="D22" s="92">
        <v>62.61</v>
      </c>
      <c r="E22" s="93">
        <v>0.12399305555555555</v>
      </c>
      <c r="F22" s="98">
        <v>21.04</v>
      </c>
      <c r="G22" s="94">
        <v>537</v>
      </c>
      <c r="H22" s="97"/>
      <c r="I22" s="97"/>
    </row>
    <row r="23" spans="1:10" x14ac:dyDescent="0.2">
      <c r="A23" s="121">
        <v>42513</v>
      </c>
      <c r="B23" s="113"/>
      <c r="C23" s="113"/>
      <c r="D23" s="92">
        <v>21.04</v>
      </c>
      <c r="E23" s="93">
        <v>4.221064814814815E-2</v>
      </c>
      <c r="F23" s="98">
        <v>21.4</v>
      </c>
      <c r="G23" s="94">
        <v>178</v>
      </c>
      <c r="H23" s="97"/>
      <c r="I23" s="97"/>
    </row>
    <row r="24" spans="1:10" x14ac:dyDescent="0.2">
      <c r="A24" s="121">
        <v>42515</v>
      </c>
      <c r="B24" s="113"/>
      <c r="C24" s="113"/>
      <c r="D24" s="92">
        <v>44.61</v>
      </c>
      <c r="E24" s="93">
        <v>8.3275462962962968E-2</v>
      </c>
      <c r="F24" s="98">
        <v>22.32</v>
      </c>
      <c r="G24" s="94">
        <v>260</v>
      </c>
      <c r="H24" s="97"/>
      <c r="I24" s="97"/>
    </row>
    <row r="25" spans="1:10" x14ac:dyDescent="0.2">
      <c r="A25" s="121">
        <v>42526</v>
      </c>
      <c r="B25" s="114" t="s">
        <v>153</v>
      </c>
      <c r="C25" s="114"/>
      <c r="D25" s="92">
        <v>32.97</v>
      </c>
      <c r="E25" s="93">
        <v>0.10466435185185186</v>
      </c>
      <c r="F25" s="98">
        <v>13.12</v>
      </c>
      <c r="G25" s="94">
        <v>276</v>
      </c>
      <c r="I25" s="97"/>
    </row>
    <row r="26" spans="1:10" x14ac:dyDescent="0.2">
      <c r="A26" s="121">
        <v>42529</v>
      </c>
      <c r="B26" s="114" t="s">
        <v>152</v>
      </c>
      <c r="C26" s="114"/>
      <c r="D26" s="92">
        <v>29.45</v>
      </c>
      <c r="E26" s="93">
        <v>5.7928240740740738E-2</v>
      </c>
      <c r="F26" s="98">
        <v>21.18</v>
      </c>
      <c r="G26" s="94">
        <v>270</v>
      </c>
      <c r="H26" s="119"/>
      <c r="I26" s="97"/>
    </row>
    <row r="27" spans="1:10" ht="15" x14ac:dyDescent="0.2">
      <c r="A27" s="131">
        <v>42532</v>
      </c>
      <c r="B27" s="67" t="s">
        <v>134</v>
      </c>
      <c r="C27" s="118">
        <v>17</v>
      </c>
      <c r="D27" s="67">
        <v>80.28</v>
      </c>
      <c r="E27" s="68">
        <v>0.19947916666666665</v>
      </c>
      <c r="F27" s="150">
        <v>16.77</v>
      </c>
      <c r="G27" s="69">
        <v>1428</v>
      </c>
      <c r="I27" s="97"/>
      <c r="J27" s="97"/>
    </row>
    <row r="28" spans="1:10" x14ac:dyDescent="0.2">
      <c r="A28" s="120">
        <v>42535</v>
      </c>
      <c r="B28" s="114" t="s">
        <v>155</v>
      </c>
      <c r="C28" s="113"/>
      <c r="D28" s="92">
        <v>5.63</v>
      </c>
      <c r="E28" s="93">
        <v>9.3171296296296283E-3</v>
      </c>
      <c r="F28" s="98">
        <v>25.2</v>
      </c>
      <c r="G28" s="94">
        <v>35</v>
      </c>
      <c r="H28" s="88"/>
      <c r="I28" s="97"/>
      <c r="J28" s="97"/>
    </row>
    <row r="29" spans="1:10" x14ac:dyDescent="0.2">
      <c r="A29" s="120">
        <v>42544</v>
      </c>
      <c r="B29" s="114" t="s">
        <v>157</v>
      </c>
      <c r="C29" s="113"/>
      <c r="D29" s="92">
        <v>34.1</v>
      </c>
      <c r="E29" s="93">
        <v>7.3587962962962966E-2</v>
      </c>
      <c r="F29" s="98">
        <v>19.3</v>
      </c>
      <c r="G29" s="94">
        <v>370</v>
      </c>
      <c r="H29" s="88"/>
      <c r="I29" s="97"/>
      <c r="J29" s="97"/>
    </row>
    <row r="30" spans="1:10" x14ac:dyDescent="0.2">
      <c r="A30" s="120">
        <v>42545</v>
      </c>
      <c r="B30" s="113"/>
      <c r="C30" s="113"/>
      <c r="D30" s="92">
        <v>42.18</v>
      </c>
      <c r="E30" s="93">
        <v>8.3634259259259255E-2</v>
      </c>
      <c r="F30" s="98">
        <v>21.01</v>
      </c>
      <c r="G30" s="94">
        <v>224</v>
      </c>
      <c r="H30" s="97"/>
      <c r="I30" s="97"/>
      <c r="J30" s="97"/>
    </row>
    <row r="31" spans="1:10" x14ac:dyDescent="0.2">
      <c r="A31" s="122">
        <v>42552</v>
      </c>
      <c r="B31" s="123" t="s">
        <v>159</v>
      </c>
      <c r="C31" s="124"/>
      <c r="D31" s="125">
        <v>11.28</v>
      </c>
      <c r="E31" s="126">
        <v>3.577546296296296E-2</v>
      </c>
      <c r="F31" s="151">
        <v>13.13</v>
      </c>
      <c r="G31" s="132">
        <v>50</v>
      </c>
      <c r="H31" s="119"/>
      <c r="I31" s="97"/>
      <c r="J31" s="97"/>
    </row>
    <row r="32" spans="1:10" x14ac:dyDescent="0.2">
      <c r="A32" s="127">
        <v>42553</v>
      </c>
      <c r="B32" s="123" t="s">
        <v>158</v>
      </c>
      <c r="C32" s="124"/>
      <c r="D32" s="125">
        <v>90.84</v>
      </c>
      <c r="E32" s="126">
        <v>0.21584490740740739</v>
      </c>
      <c r="F32" s="151">
        <v>17.53</v>
      </c>
      <c r="G32" s="132">
        <v>360</v>
      </c>
      <c r="I32" s="97"/>
      <c r="J32" s="97"/>
    </row>
    <row r="33" spans="1:14" x14ac:dyDescent="0.2">
      <c r="A33" s="127">
        <v>42554</v>
      </c>
      <c r="B33" s="123" t="s">
        <v>160</v>
      </c>
      <c r="C33" s="124"/>
      <c r="D33" s="125">
        <v>112.75</v>
      </c>
      <c r="E33" s="128">
        <v>0.26960648148148147</v>
      </c>
      <c r="F33" s="151">
        <v>17.420000000000002</v>
      </c>
      <c r="G33" s="132">
        <v>903</v>
      </c>
      <c r="H33" s="88"/>
      <c r="I33" s="97"/>
      <c r="J33" s="97"/>
    </row>
    <row r="34" spans="1:14" x14ac:dyDescent="0.2">
      <c r="A34" s="127">
        <v>42555</v>
      </c>
      <c r="B34" s="123" t="s">
        <v>161</v>
      </c>
      <c r="C34" s="124"/>
      <c r="D34" s="125">
        <v>96.11</v>
      </c>
      <c r="E34" s="126">
        <v>0.24533564814814815</v>
      </c>
      <c r="F34" s="151">
        <v>16.32</v>
      </c>
      <c r="G34" s="132">
        <v>1295</v>
      </c>
      <c r="H34" s="119"/>
      <c r="I34" s="97"/>
      <c r="J34" s="97"/>
    </row>
    <row r="35" spans="1:14" x14ac:dyDescent="0.2">
      <c r="A35" s="127">
        <v>42556</v>
      </c>
      <c r="B35" s="123" t="s">
        <v>162</v>
      </c>
      <c r="C35" s="124"/>
      <c r="D35" s="125">
        <v>123.71</v>
      </c>
      <c r="E35" s="126">
        <v>0.28668981481481481</v>
      </c>
      <c r="F35" s="151">
        <v>17.97</v>
      </c>
      <c r="G35" s="132">
        <v>1458</v>
      </c>
      <c r="I35" s="97"/>
      <c r="J35" s="97"/>
    </row>
    <row r="36" spans="1:14" x14ac:dyDescent="0.2">
      <c r="A36" s="127">
        <v>42557</v>
      </c>
      <c r="B36" s="123" t="s">
        <v>163</v>
      </c>
      <c r="C36" s="124"/>
      <c r="D36" s="125">
        <v>72.09</v>
      </c>
      <c r="E36" s="126">
        <v>0.16991898148148146</v>
      </c>
      <c r="F36" s="151">
        <v>17.670000000000002</v>
      </c>
      <c r="G36" s="132">
        <v>1057</v>
      </c>
      <c r="H36" s="88"/>
      <c r="I36" s="97"/>
      <c r="J36" s="97"/>
    </row>
    <row r="37" spans="1:14" x14ac:dyDescent="0.2">
      <c r="A37" s="121">
        <v>42571</v>
      </c>
      <c r="B37" s="113"/>
      <c r="C37" s="113"/>
      <c r="D37" s="92">
        <v>36.479999999999997</v>
      </c>
      <c r="E37" s="93">
        <v>6.8564814814814815E-2</v>
      </c>
      <c r="F37" s="98">
        <v>22.16</v>
      </c>
      <c r="G37" s="94">
        <v>190</v>
      </c>
      <c r="H37" s="97"/>
      <c r="I37" s="33"/>
      <c r="J37" s="97"/>
    </row>
    <row r="38" spans="1:14" x14ac:dyDescent="0.2">
      <c r="A38" s="121">
        <v>42573</v>
      </c>
      <c r="B38" s="113"/>
      <c r="C38" s="113"/>
      <c r="D38" s="92">
        <v>21.36</v>
      </c>
      <c r="E38" s="93">
        <v>4.2939814814814813E-2</v>
      </c>
      <c r="F38" s="98">
        <v>20.72</v>
      </c>
      <c r="G38" s="94">
        <v>229</v>
      </c>
      <c r="H38" s="97"/>
      <c r="J38" s="97"/>
    </row>
    <row r="39" spans="1:14" x14ac:dyDescent="0.2">
      <c r="A39" s="121">
        <v>42595</v>
      </c>
      <c r="B39" s="114" t="s">
        <v>164</v>
      </c>
      <c r="C39" s="113"/>
      <c r="D39" s="92">
        <v>24.62</v>
      </c>
      <c r="E39" s="93">
        <v>7.0335648148148147E-2</v>
      </c>
      <c r="F39" s="98">
        <v>14.58</v>
      </c>
      <c r="G39" s="94">
        <v>167</v>
      </c>
      <c r="H39" s="97"/>
      <c r="I39" s="97"/>
      <c r="J39" s="97"/>
    </row>
    <row r="40" spans="1:14" x14ac:dyDescent="0.2">
      <c r="A40" s="121">
        <v>42596</v>
      </c>
      <c r="B40" s="114" t="s">
        <v>166</v>
      </c>
      <c r="C40" s="113"/>
      <c r="D40" s="92">
        <v>16.57</v>
      </c>
      <c r="E40" s="93">
        <v>4.5914351851851852E-2</v>
      </c>
      <c r="F40" s="98">
        <v>15</v>
      </c>
      <c r="G40" s="94">
        <v>135</v>
      </c>
      <c r="H40" s="97"/>
      <c r="I40" s="97"/>
      <c r="J40" s="97"/>
    </row>
    <row r="41" spans="1:14" x14ac:dyDescent="0.2">
      <c r="A41" s="121">
        <v>42596</v>
      </c>
      <c r="B41" s="114" t="s">
        <v>165</v>
      </c>
      <c r="C41" s="113"/>
      <c r="D41" s="92">
        <v>34.74</v>
      </c>
      <c r="E41" s="93">
        <v>9.4004629629629632E-2</v>
      </c>
      <c r="F41" s="98">
        <v>15.4</v>
      </c>
      <c r="G41" s="94">
        <v>708</v>
      </c>
      <c r="H41" s="97"/>
      <c r="I41" s="97"/>
      <c r="J41" s="97"/>
    </row>
    <row r="42" spans="1:14" x14ac:dyDescent="0.2">
      <c r="A42" s="121">
        <v>42598</v>
      </c>
      <c r="B42" s="114" t="s">
        <v>170</v>
      </c>
      <c r="C42" s="113"/>
      <c r="D42" s="92">
        <v>35.57</v>
      </c>
      <c r="E42" s="93">
        <v>7.3495370370370364E-2</v>
      </c>
      <c r="F42" s="98">
        <v>20.16</v>
      </c>
      <c r="G42" s="94">
        <v>190</v>
      </c>
      <c r="H42" s="97"/>
      <c r="I42" s="97"/>
      <c r="J42" s="97"/>
    </row>
    <row r="43" spans="1:14" x14ac:dyDescent="0.2">
      <c r="A43" s="121">
        <v>42605</v>
      </c>
      <c r="B43" s="113"/>
      <c r="C43" s="113"/>
      <c r="D43" s="92">
        <v>15.99</v>
      </c>
      <c r="E43" s="93">
        <v>3.8101851851851852E-2</v>
      </c>
      <c r="F43" s="98">
        <v>17.489999999999998</v>
      </c>
      <c r="G43" s="94">
        <v>244</v>
      </c>
      <c r="H43" s="97"/>
      <c r="I43" s="97"/>
      <c r="J43" s="97"/>
    </row>
    <row r="44" spans="1:14" ht="15" x14ac:dyDescent="0.25">
      <c r="A44" s="121">
        <v>42606</v>
      </c>
      <c r="B44" s="113"/>
      <c r="C44" s="113"/>
      <c r="D44" s="92">
        <v>35.19</v>
      </c>
      <c r="E44" s="93">
        <v>6.8877314814814808E-2</v>
      </c>
      <c r="F44" s="98">
        <v>21.29</v>
      </c>
      <c r="G44" s="94">
        <v>184</v>
      </c>
      <c r="H44" s="95"/>
      <c r="I44" s="96"/>
      <c r="J44" s="97"/>
    </row>
    <row r="45" spans="1:14" x14ac:dyDescent="0.2">
      <c r="A45" s="121">
        <v>42608</v>
      </c>
      <c r="B45" s="113"/>
      <c r="C45" s="113"/>
      <c r="D45" s="92">
        <v>17.25</v>
      </c>
      <c r="E45" s="93">
        <v>3.6724537037037035E-2</v>
      </c>
      <c r="F45" s="98">
        <v>19.579999999999998</v>
      </c>
      <c r="G45" s="94">
        <v>154</v>
      </c>
      <c r="H45" s="97"/>
      <c r="I45" s="97"/>
      <c r="J45" s="97"/>
    </row>
    <row r="46" spans="1:14" x14ac:dyDescent="0.2">
      <c r="A46" s="121">
        <v>42612</v>
      </c>
      <c r="B46" s="113"/>
      <c r="C46" s="113"/>
      <c r="D46" s="92">
        <v>16.96</v>
      </c>
      <c r="E46" s="93">
        <v>3.7962962962962962E-2</v>
      </c>
      <c r="F46" s="98">
        <v>18.62</v>
      </c>
      <c r="G46" s="94">
        <v>147</v>
      </c>
      <c r="H46" s="97"/>
      <c r="I46" s="97"/>
      <c r="J46" s="97"/>
      <c r="N46" s="13">
        <v>0.10393518518518519</v>
      </c>
    </row>
    <row r="47" spans="1:14" ht="15" x14ac:dyDescent="0.25">
      <c r="A47" s="121">
        <v>42616</v>
      </c>
      <c r="B47" s="114" t="s">
        <v>172</v>
      </c>
      <c r="C47" s="113"/>
      <c r="D47" s="92">
        <v>4.84</v>
      </c>
      <c r="E47" s="93">
        <v>1.1435185185185185E-2</v>
      </c>
      <c r="F47" s="98">
        <v>17.66</v>
      </c>
      <c r="G47" s="94">
        <v>119</v>
      </c>
      <c r="H47" s="95"/>
      <c r="I47" s="96"/>
      <c r="J47" s="97"/>
    </row>
    <row r="48" spans="1:14" x14ac:dyDescent="0.2">
      <c r="A48" s="121">
        <v>42616</v>
      </c>
      <c r="B48" s="114" t="s">
        <v>171</v>
      </c>
      <c r="C48" s="113"/>
      <c r="D48" s="92">
        <v>30.95</v>
      </c>
      <c r="E48" s="93">
        <v>0.11160879629629629</v>
      </c>
      <c r="F48" s="147">
        <v>11.55</v>
      </c>
      <c r="G48" s="94">
        <v>720</v>
      </c>
      <c r="H48" s="97"/>
      <c r="I48" s="97"/>
      <c r="J48" s="97"/>
    </row>
    <row r="49" spans="1:20" x14ac:dyDescent="0.2">
      <c r="A49" s="121">
        <v>42620</v>
      </c>
      <c r="B49" s="113"/>
      <c r="C49" s="113"/>
      <c r="D49" s="92">
        <v>21.61</v>
      </c>
      <c r="E49" s="93">
        <v>4.7719907407407412E-2</v>
      </c>
      <c r="F49" s="98">
        <v>18.87</v>
      </c>
      <c r="G49" s="94">
        <v>174</v>
      </c>
      <c r="H49" s="97"/>
      <c r="I49" s="97"/>
      <c r="J49" s="97"/>
    </row>
    <row r="50" spans="1:20" x14ac:dyDescent="0.2">
      <c r="A50" s="121">
        <v>42621</v>
      </c>
      <c r="B50" s="113"/>
      <c r="C50" s="113"/>
      <c r="D50" s="92">
        <v>40.619999999999997</v>
      </c>
      <c r="E50" s="93">
        <v>8.2118055555555555E-2</v>
      </c>
      <c r="F50" s="98">
        <v>20.61</v>
      </c>
      <c r="G50" s="94">
        <v>433</v>
      </c>
      <c r="H50" s="99"/>
      <c r="I50" s="100"/>
      <c r="J50" s="97"/>
    </row>
    <row r="51" spans="1:20" x14ac:dyDescent="0.2">
      <c r="A51" s="121">
        <v>42624</v>
      </c>
      <c r="B51" s="114" t="s">
        <v>176</v>
      </c>
      <c r="C51" s="113"/>
      <c r="D51" s="92">
        <v>20.84</v>
      </c>
      <c r="E51" s="93">
        <v>4.0046296296296295E-2</v>
      </c>
      <c r="F51" s="98">
        <v>21.69</v>
      </c>
      <c r="G51" s="94">
        <v>138</v>
      </c>
      <c r="H51" s="88"/>
      <c r="I51" s="97"/>
      <c r="J51" s="97"/>
    </row>
    <row r="52" spans="1:20" x14ac:dyDescent="0.2">
      <c r="A52" s="137">
        <v>42624</v>
      </c>
      <c r="B52" s="144" t="s">
        <v>174</v>
      </c>
      <c r="C52" s="140"/>
      <c r="D52" s="92">
        <v>20.76</v>
      </c>
      <c r="E52" s="93">
        <v>4.1469907407407407E-2</v>
      </c>
      <c r="F52" s="98">
        <v>20.86</v>
      </c>
      <c r="G52" s="94">
        <v>218</v>
      </c>
      <c r="H52" s="88"/>
      <c r="I52" s="97"/>
      <c r="J52" s="134">
        <v>9.5023148148148159E-3</v>
      </c>
      <c r="K52" t="s">
        <v>173</v>
      </c>
    </row>
    <row r="53" spans="1:20" ht="15" x14ac:dyDescent="0.2">
      <c r="A53" s="138">
        <v>42624</v>
      </c>
      <c r="B53" s="139" t="s">
        <v>175</v>
      </c>
      <c r="C53" s="142" t="s">
        <v>177</v>
      </c>
      <c r="D53" s="67">
        <v>49.95</v>
      </c>
      <c r="E53" s="68">
        <v>0.13872685185185185</v>
      </c>
      <c r="F53" s="150">
        <v>15</v>
      </c>
      <c r="G53" s="69">
        <v>1088</v>
      </c>
      <c r="H53" s="88"/>
      <c r="I53" s="97"/>
      <c r="J53" s="97"/>
    </row>
    <row r="54" spans="1:20" x14ac:dyDescent="0.2">
      <c r="A54" s="121">
        <v>42626</v>
      </c>
      <c r="B54" s="113"/>
      <c r="C54" s="113"/>
      <c r="D54" s="92">
        <v>12.57</v>
      </c>
      <c r="E54" s="93">
        <v>2.8518518518518523E-2</v>
      </c>
      <c r="F54" s="98">
        <v>18.37</v>
      </c>
      <c r="G54" s="94">
        <v>117</v>
      </c>
      <c r="H54" s="97"/>
      <c r="J54" s="97"/>
    </row>
    <row r="55" spans="1:20" x14ac:dyDescent="0.2">
      <c r="A55" s="121">
        <v>42627</v>
      </c>
      <c r="B55" s="113"/>
      <c r="C55" s="113"/>
      <c r="D55" s="92">
        <v>42.11</v>
      </c>
      <c r="E55" s="93">
        <v>8.6932870370370383E-2</v>
      </c>
      <c r="F55" s="98">
        <v>20.18</v>
      </c>
      <c r="G55" s="94">
        <v>227</v>
      </c>
      <c r="H55" s="97"/>
      <c r="I55" s="97"/>
      <c r="J55" s="97"/>
    </row>
    <row r="56" spans="1:20" x14ac:dyDescent="0.2">
      <c r="A56" s="121">
        <v>42629</v>
      </c>
      <c r="B56" s="113"/>
      <c r="C56" s="113"/>
      <c r="D56" s="92">
        <v>49.2</v>
      </c>
      <c r="E56" s="93">
        <v>0.14583333333333334</v>
      </c>
      <c r="F56" s="152">
        <v>14.05</v>
      </c>
      <c r="G56" s="94">
        <v>159</v>
      </c>
      <c r="H56" s="97"/>
      <c r="I56" s="97"/>
      <c r="J56" s="97"/>
    </row>
    <row r="57" spans="1:20" x14ac:dyDescent="0.2">
      <c r="A57" s="137">
        <v>42637</v>
      </c>
      <c r="B57" s="144" t="s">
        <v>191</v>
      </c>
      <c r="C57" s="140"/>
      <c r="D57" s="92">
        <v>7.38</v>
      </c>
      <c r="E57" s="93">
        <v>3.5428240740740739E-2</v>
      </c>
      <c r="F57" s="98">
        <v>23.5</v>
      </c>
      <c r="G57" s="94">
        <v>181</v>
      </c>
      <c r="H57" s="97"/>
      <c r="I57" s="97"/>
      <c r="J57" s="134"/>
    </row>
    <row r="58" spans="1:20" x14ac:dyDescent="0.2">
      <c r="A58" s="138">
        <v>42637</v>
      </c>
      <c r="B58" s="139" t="s">
        <v>261</v>
      </c>
      <c r="C58" s="141" t="s">
        <v>190</v>
      </c>
      <c r="D58" s="67">
        <v>21.18</v>
      </c>
      <c r="E58" s="68">
        <v>6.850694444444444E-2</v>
      </c>
      <c r="F58" s="150">
        <v>12.99</v>
      </c>
      <c r="G58" s="69">
        <v>974</v>
      </c>
      <c r="H58" s="97"/>
      <c r="I58" s="97"/>
      <c r="J58" s="97"/>
    </row>
    <row r="59" spans="1:20" x14ac:dyDescent="0.2">
      <c r="A59" s="121">
        <v>42639</v>
      </c>
      <c r="B59" s="114" t="s">
        <v>192</v>
      </c>
      <c r="C59" s="113"/>
      <c r="D59" s="92">
        <v>34.619999999999997</v>
      </c>
      <c r="E59" s="93">
        <v>7.3576388888888886E-2</v>
      </c>
      <c r="F59" s="98">
        <v>19.600000000000001</v>
      </c>
      <c r="G59" s="94">
        <v>392</v>
      </c>
      <c r="H59" s="97"/>
      <c r="I59" s="97"/>
      <c r="J59" s="97"/>
    </row>
    <row r="60" spans="1:20" x14ac:dyDescent="0.2">
      <c r="A60" s="121">
        <v>42640</v>
      </c>
      <c r="B60" s="113"/>
      <c r="C60" s="113"/>
      <c r="D60" s="92">
        <v>13.1</v>
      </c>
      <c r="E60" s="93">
        <v>3.050925925925926E-2</v>
      </c>
      <c r="F60" s="98">
        <v>17.899999999999999</v>
      </c>
      <c r="G60" s="94">
        <v>122</v>
      </c>
      <c r="H60" s="97"/>
      <c r="I60" s="97"/>
      <c r="J60" s="97"/>
    </row>
    <row r="61" spans="1:20" x14ac:dyDescent="0.2">
      <c r="A61" s="121">
        <v>42641</v>
      </c>
      <c r="B61" s="135" t="s">
        <v>193</v>
      </c>
      <c r="C61" s="112"/>
      <c r="D61" s="51">
        <v>50.23</v>
      </c>
      <c r="E61" s="52">
        <v>9.9108796296296306E-2</v>
      </c>
      <c r="F61" s="149">
        <v>21.12</v>
      </c>
      <c r="G61" s="53">
        <v>658</v>
      </c>
    </row>
    <row r="62" spans="1:20" x14ac:dyDescent="0.2">
      <c r="A62" s="121">
        <v>42642</v>
      </c>
      <c r="B62" s="115"/>
      <c r="C62" s="115"/>
      <c r="D62" s="51">
        <v>12.16</v>
      </c>
      <c r="E62" s="52">
        <v>2.7002314814814812E-2</v>
      </c>
      <c r="F62" s="51">
        <v>18.760000000000002</v>
      </c>
      <c r="G62" s="53">
        <v>117</v>
      </c>
    </row>
    <row r="63" spans="1:20" x14ac:dyDescent="0.2">
      <c r="A63" s="121">
        <v>42651</v>
      </c>
      <c r="B63" s="153" t="s">
        <v>197</v>
      </c>
      <c r="C63" s="115"/>
      <c r="D63" s="51">
        <v>46.3</v>
      </c>
      <c r="E63" s="52">
        <v>0.13865740740740742</v>
      </c>
      <c r="F63" s="51">
        <v>13.9</v>
      </c>
      <c r="G63" s="53">
        <v>364</v>
      </c>
      <c r="T63">
        <f>65/5</f>
        <v>13</v>
      </c>
    </row>
    <row r="64" spans="1:20" x14ac:dyDescent="0.2">
      <c r="A64" s="121">
        <v>42695</v>
      </c>
      <c r="B64" s="153" t="s">
        <v>198</v>
      </c>
      <c r="C64" s="115"/>
      <c r="D64" s="51">
        <v>37.08</v>
      </c>
      <c r="E64" s="51"/>
      <c r="F64" s="51"/>
      <c r="G64" s="53"/>
    </row>
    <row r="65" spans="1:9" x14ac:dyDescent="0.2">
      <c r="A65" s="121"/>
      <c r="B65" s="115"/>
      <c r="C65" s="115"/>
      <c r="D65" s="51"/>
      <c r="E65" s="51"/>
      <c r="F65" s="51"/>
      <c r="G65" s="53"/>
    </row>
    <row r="66" spans="1:9" ht="13.5" thickBot="1" x14ac:dyDescent="0.25">
      <c r="A66" s="116"/>
      <c r="B66" s="116"/>
      <c r="C66" s="116"/>
      <c r="D66" s="57"/>
      <c r="E66" s="57"/>
      <c r="F66" s="57"/>
      <c r="G66" s="58"/>
    </row>
    <row r="67" spans="1:9" x14ac:dyDescent="0.2">
      <c r="D67">
        <f>SUM(D2:D66)</f>
        <v>2001.8199999999993</v>
      </c>
      <c r="E67" s="17">
        <f>SUM(E2:E62)</f>
        <v>4.4498495370370366</v>
      </c>
      <c r="F67" s="33">
        <f>SUM(F2:F61)/60</f>
        <v>18.588999999999999</v>
      </c>
      <c r="H67" t="s">
        <v>90</v>
      </c>
      <c r="I67">
        <f>SUM(I2:I66)</f>
        <v>6937</v>
      </c>
    </row>
    <row r="68" spans="1:9" x14ac:dyDescent="0.2">
      <c r="I68" s="33">
        <f>I67/D67</f>
        <v>3.4653465346534666</v>
      </c>
    </row>
    <row r="71" spans="1:9" x14ac:dyDescent="0.2">
      <c r="B71" s="32" t="s">
        <v>178</v>
      </c>
      <c r="C71">
        <f>SUMIFS($D$2:$D$55,$A$2:$A$55,"&lt;1.2.2016")</f>
        <v>52.53</v>
      </c>
      <c r="D71">
        <f>COUNTIFS($A$2:$A$66,"&gt;=1.1.2016",$A$2:$A$66,"&lt;=31.1.2016")</f>
        <v>3</v>
      </c>
    </row>
    <row r="72" spans="1:9" x14ac:dyDescent="0.2">
      <c r="B72" s="32" t="s">
        <v>179</v>
      </c>
      <c r="C72">
        <f>SUMIFS($D$2:$D$55,$A$2:$A$55,"&lt;1.3.2016")-SUMIFS($D$2:$D$55,$A$2:$A$55,"&lt;1.2.2016")</f>
        <v>56.289999999999992</v>
      </c>
      <c r="D72">
        <f>COUNTIFS($A$2:$A$66,"&gt;=1.2.2016",$A$2:$A$66,"&lt;=28.2.2016")</f>
        <v>5</v>
      </c>
      <c r="F72" s="97"/>
    </row>
    <row r="73" spans="1:9" x14ac:dyDescent="0.2">
      <c r="B73" s="32" t="s">
        <v>180</v>
      </c>
      <c r="C73">
        <f>SUMIFS($D$2:$D$55,$A$2:$A$55,"&lt;1.4.2016")-SUMIFS($D$2:$D$55,$A$2:$A$55,"&lt;1.3.2016")</f>
        <v>0</v>
      </c>
      <c r="D73">
        <f>COUNTIFS($A$2:$A$66,"&gt;=1.3.2016",$A$2:$A$66,"&lt;=31.3.2016")</f>
        <v>0</v>
      </c>
    </row>
    <row r="74" spans="1:9" x14ac:dyDescent="0.2">
      <c r="B74" s="32" t="s">
        <v>181</v>
      </c>
      <c r="C74">
        <f>SUMIFS($D$2:$D$55,$A$2:$A$55,"&lt;1.5.2016")-SUMIFS($D$2:$D$55,$A$2:$A$55,"&lt;1.4.2016")</f>
        <v>175.95999999999998</v>
      </c>
      <c r="D74">
        <f>COUNTIFS($A$2:$A$66,"&gt;=1.4.2016",$A$2:$A$66,"&lt;=30.4.2016")</f>
        <v>7</v>
      </c>
      <c r="F74" s="33"/>
    </row>
    <row r="75" spans="1:9" x14ac:dyDescent="0.2">
      <c r="B75" s="32" t="s">
        <v>182</v>
      </c>
      <c r="C75">
        <f>SUMIFS($D$2:$D$55,$A$2:$A$55,"&lt;1.6.2016")-SUMIFS($D$2:$D$55,$A$2:$A$55,"&lt;1.5.2016")</f>
        <v>215.42000000000002</v>
      </c>
      <c r="D75">
        <f>COUNTIFS($A$2:$A$66,"&gt;=1.5.2016",$A$2:$A$66,"&lt;=31.5.2016")</f>
        <v>8</v>
      </c>
    </row>
    <row r="76" spans="1:9" x14ac:dyDescent="0.2">
      <c r="B76" s="32" t="s">
        <v>183</v>
      </c>
      <c r="C76">
        <f>SUMIFS($D$2:$D$55,$A$2:$A$55,"&lt;1.7.2016")-SUMIFS($D$2:$D$55,$A$2:$A$55,"&lt;1.6.2016")</f>
        <v>224.60999999999996</v>
      </c>
      <c r="D76">
        <f>COUNTIFS($A$2:$A$66,"&gt;=1.6.2016",$A$2:$A$66,"&lt;=30.6.2016")</f>
        <v>6</v>
      </c>
    </row>
    <row r="77" spans="1:9" x14ac:dyDescent="0.2">
      <c r="B77" s="32" t="s">
        <v>184</v>
      </c>
      <c r="C77">
        <f>SUMIFS($D$2:$D$55,$A$2:$A$55,"&lt;1.8.2016")-SUMIFS($D$2:$D$55,$A$2:$A$55,"&lt;1.7.2016")</f>
        <v>564.61999999999989</v>
      </c>
      <c r="D77">
        <f>COUNTIFS($A$2:$A$66,"&gt;=1.7.2016",$A$2:$A$66,"&lt;=31.7.2016")</f>
        <v>8</v>
      </c>
    </row>
    <row r="78" spans="1:9" x14ac:dyDescent="0.2">
      <c r="B78" s="32" t="s">
        <v>185</v>
      </c>
      <c r="C78">
        <f>SUMIFS($D$2:$D$55,$A$2:$A$55,"&lt;1.9.2016")-SUMIFS($D$2:$D$55,$A$2:$A$55,"&lt;1.8.2016")</f>
        <v>196.88999999999987</v>
      </c>
      <c r="D78">
        <f>COUNTIFS($A$2:$A$66,"&gt;=1.8.2016",$A$2:$A$66,"&lt;=31.8.2016")</f>
        <v>8</v>
      </c>
    </row>
    <row r="79" spans="1:9" x14ac:dyDescent="0.2">
      <c r="B79" s="32" t="s">
        <v>186</v>
      </c>
      <c r="C79">
        <f>SUMIFS(D:D,A:A,"&lt;1.10.2016")-SUMIFS(D:D,A:A,"&lt;1.9.2016")</f>
        <v>432.11999999999966</v>
      </c>
      <c r="D79">
        <f>COUNTIFS($A$2:$A$66,"&gt;=1.9.2016",$A$2:$A$66,"&lt;=30.9.2016")</f>
        <v>16</v>
      </c>
    </row>
    <row r="80" spans="1:9" x14ac:dyDescent="0.2">
      <c r="B80" s="32" t="s">
        <v>187</v>
      </c>
      <c r="C80">
        <f>SUMIFS(D:D,A:A,"&lt;1.11.2016")-SUMIFS(D:D,A:A,"&lt;1.10.2016")</f>
        <v>46.299999999999955</v>
      </c>
      <c r="D80">
        <f>COUNTIFS($A$2:$A$66,"&gt;=1.10.2016",$A$2:$A$66,"&lt;=31.10.2016")</f>
        <v>1</v>
      </c>
    </row>
    <row r="81" spans="2:4" x14ac:dyDescent="0.2">
      <c r="B81" s="32" t="s">
        <v>188</v>
      </c>
      <c r="C81">
        <f>SUMIFS(D:D,A:A,"&lt;1.12.2016")-SUMIFS(D:D,A:A,"&lt;1.11.2016")</f>
        <v>37.079999999999927</v>
      </c>
      <c r="D81">
        <f>COUNTIFS($A$2:$A$66,"&gt;=1.11.2016",$A$2:$A$66,"&lt;=30.11.2016")</f>
        <v>1</v>
      </c>
    </row>
    <row r="82" spans="2:4" x14ac:dyDescent="0.2">
      <c r="B82" s="32" t="s">
        <v>189</v>
      </c>
      <c r="C82">
        <f>SUMIFS(D:D,A:A,"&lt;31.12.2016")-SUMIFS(D:D,A:A,"&lt;1.11.2016")</f>
        <v>37.079999999999927</v>
      </c>
      <c r="D82">
        <f>COUNTIFS($A$2:$A$66,"&gt;=1.12.2016",$A$2:$A$66,"&lt;=31.12.2016")</f>
        <v>0</v>
      </c>
    </row>
    <row r="83" spans="2:4" x14ac:dyDescent="0.2">
      <c r="B83"/>
      <c r="C83" s="97">
        <f>SUM(C71:C82)</f>
        <v>2038.8999999999992</v>
      </c>
      <c r="D83" s="97">
        <f>SUM(D71:D82)</f>
        <v>63</v>
      </c>
    </row>
    <row r="87" spans="2:4" x14ac:dyDescent="0.2">
      <c r="B87" s="136" t="s">
        <v>195</v>
      </c>
      <c r="C87" s="33">
        <f>SUMIFS($F$2:$F$66,$G$2:$G$66,"&lt;500")/COUNTIFS($G$2:$G$66,"&lt;500")</f>
        <v>18.918399999999998</v>
      </c>
    </row>
    <row r="88" spans="2:4" x14ac:dyDescent="0.2">
      <c r="B88" s="136" t="s">
        <v>196</v>
      </c>
      <c r="C88" s="33">
        <f>SUMIFS($F$2:$F$66,$G$2:$G$66,"&gt;500",$G$2:$G$66,"&lt;1000")/COUNTIFS($G$2:$G$66,"&gt;500",$G$2:$G$66,"&lt;1000")</f>
        <v>16.907142857142855</v>
      </c>
    </row>
    <row r="89" spans="2:4" x14ac:dyDescent="0.2">
      <c r="B89" s="136" t="s">
        <v>194</v>
      </c>
      <c r="C89" s="33">
        <f>SUMIFS($F$2:$F$66,$G$2:$G$66,"&gt;1000")/COUNTIFS($G$2:$G$66,"&gt;1000")</f>
        <v>16.746000000000002</v>
      </c>
    </row>
    <row r="90" spans="2:4" x14ac:dyDescent="0.2">
      <c r="D90" s="145"/>
    </row>
    <row r="91" spans="2:4" ht="13.5" thickBot="1" x14ac:dyDescent="0.25"/>
    <row r="92" spans="2:4" ht="15" thickBot="1" x14ac:dyDescent="0.25">
      <c r="B92" s="286" t="s">
        <v>278</v>
      </c>
      <c r="C92" s="287" t="s">
        <v>279</v>
      </c>
    </row>
    <row r="93" spans="2:4" x14ac:dyDescent="0.2">
      <c r="B93" s="281" t="s">
        <v>277</v>
      </c>
      <c r="C93" s="282">
        <f>COUNTIFS($D$2:$D$111,"=&lt;10")</f>
        <v>0</v>
      </c>
    </row>
    <row r="94" spans="2:4" x14ac:dyDescent="0.2">
      <c r="B94" s="283" t="s">
        <v>274</v>
      </c>
      <c r="C94" s="280">
        <f>COUNTIFS($D$2:$D$111,"&gt;=10",$D$2:$D$111,"&lt;=20")</f>
        <v>23</v>
      </c>
    </row>
    <row r="95" spans="2:4" x14ac:dyDescent="0.2">
      <c r="B95" s="283" t="s">
        <v>266</v>
      </c>
      <c r="C95" s="280">
        <f>COUNTIFS($D$2:$D$111,"&gt;=20",$D$2:$D$111,"&lt;=30")</f>
        <v>10</v>
      </c>
    </row>
    <row r="96" spans="2:4" x14ac:dyDescent="0.2">
      <c r="B96" s="283" t="s">
        <v>268</v>
      </c>
      <c r="C96" s="280">
        <f>COUNTIFS($D$2:$D$111,"&gt;=30",$D$2:$D$111,"&lt;=40")</f>
        <v>10</v>
      </c>
    </row>
    <row r="97" spans="2:3" x14ac:dyDescent="0.2">
      <c r="B97" s="283" t="s">
        <v>267</v>
      </c>
      <c r="C97" s="280">
        <f>COUNTIFS($D$2:$D$111,"&gt;=40",$D$2:$D$111,"&lt;=50")</f>
        <v>9</v>
      </c>
    </row>
    <row r="98" spans="2:3" x14ac:dyDescent="0.2">
      <c r="B98" s="283" t="s">
        <v>269</v>
      </c>
      <c r="C98" s="280">
        <f>COUNTIFS($D$2:$D$111,"&gt;=50",$D$2:$D$111,"&lt;=60")</f>
        <v>1</v>
      </c>
    </row>
    <row r="99" spans="2:3" x14ac:dyDescent="0.2">
      <c r="B99" s="283" t="s">
        <v>270</v>
      </c>
      <c r="C99" s="280">
        <f>COUNTIFS($D$2:$D$111,"&gt;=60",$D$2:$D$111,"&lt;=70")</f>
        <v>2</v>
      </c>
    </row>
    <row r="100" spans="2:3" x14ac:dyDescent="0.2">
      <c r="B100" s="283" t="s">
        <v>271</v>
      </c>
      <c r="C100" s="280">
        <f>COUNTIFS($D$2:$D$111,"&gt;=70",$D$2:$D$111,"&lt;=80")</f>
        <v>1</v>
      </c>
    </row>
    <row r="101" spans="2:3" x14ac:dyDescent="0.2">
      <c r="B101" s="283" t="s">
        <v>272</v>
      </c>
      <c r="C101" s="280">
        <f>COUNTIFS($D$2:$D$111,"&gt;=80",$D$2:$D$111,"&lt;=90")</f>
        <v>1</v>
      </c>
    </row>
    <row r="102" spans="2:3" x14ac:dyDescent="0.2">
      <c r="B102" s="283" t="s">
        <v>273</v>
      </c>
      <c r="C102" s="280">
        <f>COUNTIFS($D$2:$D$111,"&gt;=90",$D$2:$D$111,"&lt;=100")</f>
        <v>2</v>
      </c>
    </row>
    <row r="103" spans="2:3" x14ac:dyDescent="0.2">
      <c r="B103" s="283" t="s">
        <v>275</v>
      </c>
      <c r="C103" s="280">
        <f>COUNTIFS($D$2:$D$111,"&gt;=100",$D$2:$D$111,"&lt;=110")</f>
        <v>0</v>
      </c>
    </row>
    <row r="104" spans="2:3" ht="13.5" thickBot="1" x14ac:dyDescent="0.25">
      <c r="B104" s="284" t="s">
        <v>276</v>
      </c>
      <c r="C104" s="285">
        <f>COUNTIFS($D$2:$D$111,"&gt;=110",$D$2:$D$111,"&lt;=150")</f>
        <v>2</v>
      </c>
    </row>
    <row r="105" spans="2:3" x14ac:dyDescent="0.2">
      <c r="C105" s="117">
        <f>SUM(C93:C104)</f>
        <v>61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01"/>
  <sheetViews>
    <sheetView workbookViewId="0">
      <selection activeCell="D99" sqref="D99"/>
    </sheetView>
  </sheetViews>
  <sheetFormatPr defaultRowHeight="12.75" x14ac:dyDescent="0.2"/>
  <cols>
    <col min="1" max="1" width="20.28515625" bestFit="1" customWidth="1"/>
    <col min="2" max="2" width="16.42578125" bestFit="1" customWidth="1"/>
    <col min="3" max="3" width="11.42578125" bestFit="1" customWidth="1"/>
    <col min="4" max="4" width="17.7109375" bestFit="1" customWidth="1"/>
    <col min="5" max="5" width="18.5703125" customWidth="1"/>
    <col min="6" max="6" width="18.140625" bestFit="1" customWidth="1"/>
    <col min="7" max="7" width="6.42578125" customWidth="1"/>
  </cols>
  <sheetData>
    <row r="1" spans="1:12" ht="13.5" thickBot="1" x14ac:dyDescent="0.25">
      <c r="A1" s="63" t="s">
        <v>0</v>
      </c>
      <c r="B1" s="64" t="s">
        <v>1</v>
      </c>
      <c r="C1" s="64" t="s">
        <v>2</v>
      </c>
      <c r="D1" s="64" t="s">
        <v>3</v>
      </c>
      <c r="E1" s="65" t="s">
        <v>4</v>
      </c>
    </row>
    <row r="2" spans="1:12" x14ac:dyDescent="0.2">
      <c r="A2" s="59">
        <v>42017</v>
      </c>
      <c r="B2" s="60">
        <v>6.01</v>
      </c>
      <c r="C2" s="61">
        <v>1.1597222222222222E-2</v>
      </c>
      <c r="D2" s="60">
        <v>21.59</v>
      </c>
      <c r="E2" s="62">
        <v>12</v>
      </c>
    </row>
    <row r="3" spans="1:12" x14ac:dyDescent="0.2">
      <c r="A3" s="50">
        <v>42058</v>
      </c>
      <c r="B3" s="51">
        <v>36.31</v>
      </c>
      <c r="C3" s="52">
        <v>8.1851851851851856E-2</v>
      </c>
      <c r="D3" s="51">
        <v>18.5</v>
      </c>
      <c r="E3" s="53">
        <v>457</v>
      </c>
    </row>
    <row r="4" spans="1:12" x14ac:dyDescent="0.2">
      <c r="A4" s="50">
        <v>42067</v>
      </c>
      <c r="B4" s="51">
        <v>18.399999999999999</v>
      </c>
      <c r="C4" s="52">
        <v>4.8842592592592597E-2</v>
      </c>
      <c r="D4" s="51">
        <v>17.14</v>
      </c>
      <c r="E4" s="53">
        <v>234</v>
      </c>
    </row>
    <row r="5" spans="1:12" x14ac:dyDescent="0.2">
      <c r="A5" s="50">
        <v>42080</v>
      </c>
      <c r="B5" s="51">
        <v>22.59</v>
      </c>
      <c r="C5" s="52">
        <v>4.929398148148148E-2</v>
      </c>
      <c r="D5" s="51">
        <v>19.09</v>
      </c>
      <c r="E5" s="53">
        <v>221</v>
      </c>
    </row>
    <row r="6" spans="1:12" x14ac:dyDescent="0.2">
      <c r="A6" s="50">
        <v>42081</v>
      </c>
      <c r="B6" s="51">
        <v>37.17</v>
      </c>
      <c r="C6" s="52">
        <v>7.4513888888888893E-2</v>
      </c>
      <c r="D6" s="51">
        <v>20.78</v>
      </c>
      <c r="E6" s="53">
        <v>201</v>
      </c>
    </row>
    <row r="7" spans="1:12" x14ac:dyDescent="0.2">
      <c r="A7" s="50">
        <v>42083</v>
      </c>
      <c r="B7" s="51">
        <v>5.75</v>
      </c>
      <c r="C7" s="52">
        <v>1.1909722222222223E-2</v>
      </c>
      <c r="D7" s="51">
        <v>20.16</v>
      </c>
      <c r="E7" s="53">
        <v>11</v>
      </c>
    </row>
    <row r="8" spans="1:12" x14ac:dyDescent="0.2">
      <c r="A8" s="50">
        <v>42106</v>
      </c>
      <c r="B8" s="51">
        <v>22</v>
      </c>
      <c r="C8" s="52">
        <v>7.2916666666666671E-2</v>
      </c>
      <c r="D8" s="51">
        <v>19.5</v>
      </c>
      <c r="E8" s="53">
        <v>221</v>
      </c>
    </row>
    <row r="9" spans="1:12" x14ac:dyDescent="0.2">
      <c r="A9" s="50">
        <v>42107</v>
      </c>
      <c r="B9" s="51">
        <v>41.91</v>
      </c>
      <c r="C9" s="52">
        <v>8.1666666666666665E-2</v>
      </c>
      <c r="D9" s="51">
        <v>21.38</v>
      </c>
      <c r="E9" s="53">
        <v>345</v>
      </c>
    </row>
    <row r="10" spans="1:12" x14ac:dyDescent="0.2">
      <c r="A10" s="50">
        <v>42109</v>
      </c>
      <c r="B10" s="51">
        <v>12.35</v>
      </c>
      <c r="C10" s="52">
        <v>2.8726851851851851E-2</v>
      </c>
      <c r="D10" s="51">
        <v>17.829999999999998</v>
      </c>
      <c r="E10" s="53">
        <v>128</v>
      </c>
    </row>
    <row r="11" spans="1:12" x14ac:dyDescent="0.2">
      <c r="A11" s="50">
        <v>42116</v>
      </c>
      <c r="B11" s="51">
        <v>13.11</v>
      </c>
      <c r="C11" s="52">
        <v>2.8055555555555556E-2</v>
      </c>
      <c r="D11" s="51">
        <v>19.48</v>
      </c>
      <c r="E11" s="53">
        <v>131</v>
      </c>
    </row>
    <row r="12" spans="1:12" x14ac:dyDescent="0.2">
      <c r="A12" s="50">
        <v>42117</v>
      </c>
      <c r="B12" s="51">
        <v>13.22</v>
      </c>
      <c r="C12" s="52">
        <v>3.0300925925925926E-2</v>
      </c>
      <c r="D12" s="51">
        <v>18.170000000000002</v>
      </c>
      <c r="E12" s="53">
        <v>146</v>
      </c>
    </row>
    <row r="13" spans="1:12" x14ac:dyDescent="0.2">
      <c r="A13" s="50">
        <v>42135</v>
      </c>
      <c r="B13" s="51">
        <v>42.91</v>
      </c>
      <c r="C13" s="52">
        <v>9.4016203703703713E-2</v>
      </c>
      <c r="D13" s="51">
        <v>19.010000000000002</v>
      </c>
      <c r="E13" s="53">
        <v>452</v>
      </c>
    </row>
    <row r="14" spans="1:12" x14ac:dyDescent="0.2">
      <c r="A14" s="50">
        <v>42137</v>
      </c>
      <c r="B14" s="51">
        <v>49.4</v>
      </c>
      <c r="C14" s="52">
        <v>0.11487268518518519</v>
      </c>
      <c r="D14" s="51">
        <v>17.920000000000002</v>
      </c>
      <c r="E14" s="53">
        <v>674</v>
      </c>
    </row>
    <row r="15" spans="1:12" x14ac:dyDescent="0.2">
      <c r="A15" s="50">
        <v>42141</v>
      </c>
      <c r="B15" s="51">
        <v>28.55</v>
      </c>
      <c r="C15" s="52">
        <v>5.4039351851851852E-2</v>
      </c>
      <c r="D15" s="51">
        <v>22.01</v>
      </c>
      <c r="E15" s="53">
        <v>377</v>
      </c>
      <c r="L15">
        <f>SUM(B2:B20)</f>
        <v>601.09</v>
      </c>
    </row>
    <row r="16" spans="1:12" x14ac:dyDescent="0.2">
      <c r="A16" s="50">
        <v>42142</v>
      </c>
      <c r="B16" s="51">
        <v>32</v>
      </c>
      <c r="C16" s="52">
        <v>8.5694444444444448E-2</v>
      </c>
      <c r="D16" s="51">
        <v>15.56</v>
      </c>
      <c r="E16" s="53">
        <v>181</v>
      </c>
    </row>
    <row r="17" spans="1:7" x14ac:dyDescent="0.2">
      <c r="A17" s="50">
        <v>42146</v>
      </c>
      <c r="B17" s="51">
        <v>13.39</v>
      </c>
      <c r="C17" s="52">
        <v>3.0497685185185183E-2</v>
      </c>
      <c r="D17" s="51">
        <v>18.3</v>
      </c>
      <c r="E17" s="53">
        <v>335</v>
      </c>
    </row>
    <row r="18" spans="1:7" x14ac:dyDescent="0.2">
      <c r="A18" s="50">
        <v>42154</v>
      </c>
      <c r="B18" s="51">
        <v>120.71</v>
      </c>
      <c r="C18" s="52">
        <v>0.27217592592592593</v>
      </c>
      <c r="D18" s="51">
        <v>18.47</v>
      </c>
      <c r="E18" s="53">
        <v>1236</v>
      </c>
    </row>
    <row r="19" spans="1:7" x14ac:dyDescent="0.2">
      <c r="A19" s="50">
        <v>42155</v>
      </c>
      <c r="B19" s="51">
        <v>11.46</v>
      </c>
      <c r="C19" s="52">
        <v>1.4819444444444445</v>
      </c>
      <c r="D19" s="51">
        <v>19.3</v>
      </c>
      <c r="E19" s="53">
        <v>202</v>
      </c>
    </row>
    <row r="20" spans="1:7" x14ac:dyDescent="0.2">
      <c r="A20" s="50">
        <v>42161</v>
      </c>
      <c r="B20" s="51">
        <v>73.849999999999994</v>
      </c>
      <c r="C20" s="52">
        <v>0.19123842592592591</v>
      </c>
      <c r="D20" s="51">
        <v>16.09</v>
      </c>
      <c r="E20" s="53">
        <v>1360</v>
      </c>
    </row>
    <row r="21" spans="1:7" ht="15" x14ac:dyDescent="0.25">
      <c r="A21" s="66">
        <v>42168</v>
      </c>
      <c r="B21" s="67">
        <v>71.959999999999994</v>
      </c>
      <c r="C21" s="68">
        <v>0.18645833333333331</v>
      </c>
      <c r="D21" s="67">
        <v>16.079999999999998</v>
      </c>
      <c r="E21" s="69">
        <v>1358</v>
      </c>
      <c r="F21" s="70" t="s">
        <v>134</v>
      </c>
      <c r="G21" s="71">
        <v>12</v>
      </c>
    </row>
    <row r="22" spans="1:7" x14ac:dyDescent="0.2">
      <c r="A22" s="50">
        <v>42181</v>
      </c>
      <c r="B22" s="51">
        <v>27.49</v>
      </c>
      <c r="C22" s="52">
        <v>5.3090277777777778E-2</v>
      </c>
      <c r="D22" s="72">
        <v>21.57</v>
      </c>
      <c r="E22" s="53">
        <v>254</v>
      </c>
    </row>
    <row r="23" spans="1:7" x14ac:dyDescent="0.2">
      <c r="A23" s="50">
        <v>42184</v>
      </c>
      <c r="B23" s="51">
        <v>17.63</v>
      </c>
      <c r="C23" s="52">
        <v>3.9699074074074074E-2</v>
      </c>
      <c r="D23" s="51">
        <v>18.5</v>
      </c>
      <c r="E23" s="53">
        <v>136</v>
      </c>
    </row>
    <row r="24" spans="1:7" x14ac:dyDescent="0.2">
      <c r="A24" s="50">
        <v>42185</v>
      </c>
      <c r="B24" s="51">
        <v>27.41</v>
      </c>
      <c r="C24" s="52">
        <v>5.3240740740740734E-2</v>
      </c>
      <c r="D24" s="51">
        <v>21.45</v>
      </c>
      <c r="E24" s="53">
        <v>262</v>
      </c>
    </row>
    <row r="25" spans="1:7" x14ac:dyDescent="0.2">
      <c r="A25" s="50">
        <v>42200</v>
      </c>
      <c r="B25" s="51">
        <v>13.16</v>
      </c>
      <c r="C25" s="52">
        <v>2.6122685185185183E-2</v>
      </c>
      <c r="D25" s="51">
        <v>21</v>
      </c>
      <c r="E25" s="53">
        <v>128</v>
      </c>
    </row>
    <row r="26" spans="1:7" x14ac:dyDescent="0.2">
      <c r="A26" s="73">
        <v>42206</v>
      </c>
      <c r="B26" s="74">
        <v>45.5</v>
      </c>
      <c r="C26" s="75">
        <v>0.15902777777777777</v>
      </c>
      <c r="D26" s="74">
        <v>15.4</v>
      </c>
      <c r="E26" s="76">
        <v>226</v>
      </c>
      <c r="F26" s="619" t="s">
        <v>130</v>
      </c>
    </row>
    <row r="27" spans="1:7" x14ac:dyDescent="0.2">
      <c r="A27" s="73">
        <v>42207</v>
      </c>
      <c r="B27" s="74">
        <v>39.14</v>
      </c>
      <c r="C27" s="75">
        <v>0.11182870370370369</v>
      </c>
      <c r="D27" s="74">
        <v>14.58</v>
      </c>
      <c r="E27" s="76">
        <v>57</v>
      </c>
      <c r="F27" s="619"/>
    </row>
    <row r="28" spans="1:7" x14ac:dyDescent="0.2">
      <c r="A28" s="73">
        <v>42208</v>
      </c>
      <c r="B28" s="74">
        <v>54.54</v>
      </c>
      <c r="C28" s="75">
        <v>0.16072916666666667</v>
      </c>
      <c r="D28" s="74">
        <v>14.13</v>
      </c>
      <c r="E28" s="76">
        <v>429</v>
      </c>
      <c r="F28" s="619"/>
    </row>
    <row r="29" spans="1:7" x14ac:dyDescent="0.2">
      <c r="A29" s="73">
        <v>42209</v>
      </c>
      <c r="B29" s="74">
        <v>21.45</v>
      </c>
      <c r="C29" s="75">
        <v>6.3553240740740743E-2</v>
      </c>
      <c r="D29" s="74">
        <v>14.06</v>
      </c>
      <c r="E29" s="76">
        <v>278</v>
      </c>
      <c r="F29" s="619"/>
    </row>
    <row r="30" spans="1:7" x14ac:dyDescent="0.2">
      <c r="A30" s="50">
        <v>42214</v>
      </c>
      <c r="B30" s="51">
        <v>26.79</v>
      </c>
      <c r="C30" s="52">
        <v>4.83912037037037E-2</v>
      </c>
      <c r="D30" s="51">
        <v>24.9</v>
      </c>
      <c r="E30" s="53">
        <v>199</v>
      </c>
    </row>
    <row r="31" spans="1:7" x14ac:dyDescent="0.2">
      <c r="A31" s="50">
        <v>42219</v>
      </c>
      <c r="B31" s="51">
        <v>47.4</v>
      </c>
      <c r="C31" s="52">
        <v>0.11640046296296297</v>
      </c>
      <c r="D31" s="51">
        <v>20.28</v>
      </c>
      <c r="E31" s="53">
        <v>498</v>
      </c>
    </row>
    <row r="32" spans="1:7" x14ac:dyDescent="0.2">
      <c r="A32" s="50">
        <v>42220</v>
      </c>
      <c r="B32" s="51">
        <v>33.26</v>
      </c>
      <c r="C32" s="52">
        <v>5.9895833333333336E-2</v>
      </c>
      <c r="D32" s="51">
        <v>23.13</v>
      </c>
      <c r="E32" s="53">
        <v>163</v>
      </c>
    </row>
    <row r="33" spans="1:15" x14ac:dyDescent="0.2">
      <c r="A33" s="50">
        <v>42221</v>
      </c>
      <c r="B33" s="51">
        <v>29.3</v>
      </c>
      <c r="C33" s="77">
        <v>7.8379629629629632E-2</v>
      </c>
      <c r="D33" s="51">
        <v>15.58</v>
      </c>
      <c r="E33" s="53">
        <v>377</v>
      </c>
    </row>
    <row r="34" spans="1:15" x14ac:dyDescent="0.2">
      <c r="A34" s="50">
        <v>42226</v>
      </c>
      <c r="B34" s="51">
        <v>11.2</v>
      </c>
      <c r="C34" s="52">
        <v>2.2048611111111113E-2</v>
      </c>
      <c r="D34" s="51">
        <v>21.16</v>
      </c>
      <c r="E34" s="53">
        <v>114</v>
      </c>
      <c r="I34" s="13"/>
    </row>
    <row r="35" spans="1:15" x14ac:dyDescent="0.2">
      <c r="A35" s="50">
        <v>42227</v>
      </c>
      <c r="B35" s="51">
        <v>50.23</v>
      </c>
      <c r="C35" s="52">
        <v>9.6053240740740731E-2</v>
      </c>
      <c r="D35" s="51">
        <v>21.78</v>
      </c>
      <c r="E35" s="53">
        <v>499</v>
      </c>
    </row>
    <row r="36" spans="1:15" x14ac:dyDescent="0.2">
      <c r="A36" s="50">
        <v>42228</v>
      </c>
      <c r="B36" s="51">
        <v>14.19</v>
      </c>
      <c r="C36" s="52">
        <v>3.2187500000000001E-2</v>
      </c>
      <c r="D36" s="51">
        <v>18.37</v>
      </c>
      <c r="E36" s="53">
        <v>118</v>
      </c>
      <c r="L36" s="13"/>
    </row>
    <row r="37" spans="1:15" x14ac:dyDescent="0.2">
      <c r="A37" s="50">
        <v>42243</v>
      </c>
      <c r="B37" s="51">
        <v>12.02</v>
      </c>
      <c r="C37" s="52">
        <v>2.4386574074074074E-2</v>
      </c>
      <c r="D37" s="51">
        <v>20.54</v>
      </c>
      <c r="E37" s="53">
        <v>116</v>
      </c>
      <c r="L37" s="13"/>
    </row>
    <row r="38" spans="1:15" x14ac:dyDescent="0.2">
      <c r="A38" s="50">
        <v>42247</v>
      </c>
      <c r="B38" s="51">
        <v>32.6</v>
      </c>
      <c r="C38" s="52">
        <v>6.3113425925925934E-2</v>
      </c>
      <c r="D38" s="51">
        <v>21.52</v>
      </c>
      <c r="E38" s="53">
        <v>174</v>
      </c>
      <c r="K38" s="36"/>
      <c r="L38" s="36"/>
      <c r="M38" s="36"/>
      <c r="N38" s="36"/>
      <c r="O38" s="36"/>
    </row>
    <row r="39" spans="1:15" x14ac:dyDescent="0.2">
      <c r="A39" s="50">
        <v>42248</v>
      </c>
      <c r="B39" s="51">
        <v>12.22</v>
      </c>
      <c r="C39" s="52">
        <v>2.4918981481481483E-2</v>
      </c>
      <c r="D39" s="51">
        <v>20.440000000000001</v>
      </c>
      <c r="E39" s="53">
        <v>114</v>
      </c>
      <c r="K39" s="90"/>
      <c r="L39" s="91"/>
      <c r="M39" s="90"/>
      <c r="N39" s="90"/>
      <c r="O39" s="36"/>
    </row>
    <row r="40" spans="1:15" x14ac:dyDescent="0.2">
      <c r="A40" s="50">
        <v>42250</v>
      </c>
      <c r="B40" s="51">
        <v>28.47</v>
      </c>
      <c r="C40" s="52">
        <v>5.6053240740740744E-2</v>
      </c>
      <c r="D40" s="51">
        <v>21.16</v>
      </c>
      <c r="E40" s="53">
        <v>292</v>
      </c>
      <c r="K40" s="36"/>
      <c r="L40" s="35"/>
      <c r="M40" s="36"/>
      <c r="N40" s="36"/>
      <c r="O40" s="36"/>
    </row>
    <row r="41" spans="1:15" x14ac:dyDescent="0.2">
      <c r="A41" s="50">
        <v>42251</v>
      </c>
      <c r="B41" s="51">
        <v>12.11</v>
      </c>
      <c r="C41" s="52">
        <v>2.3692129629629629E-2</v>
      </c>
      <c r="D41" s="51">
        <v>21.3</v>
      </c>
      <c r="E41" s="53">
        <v>121</v>
      </c>
      <c r="J41" s="33"/>
      <c r="K41" s="36"/>
      <c r="L41" s="36"/>
      <c r="M41" s="36"/>
      <c r="N41" s="36"/>
      <c r="O41" s="36"/>
    </row>
    <row r="42" spans="1:15" x14ac:dyDescent="0.2">
      <c r="A42" s="50">
        <v>42252</v>
      </c>
      <c r="B42" s="51">
        <v>34.92</v>
      </c>
      <c r="C42" s="52">
        <v>0.10712962962962963</v>
      </c>
      <c r="D42" s="51" t="s">
        <v>135</v>
      </c>
      <c r="E42" s="53">
        <v>400</v>
      </c>
      <c r="K42" s="36"/>
      <c r="L42" s="87"/>
      <c r="M42" s="36"/>
      <c r="N42" s="36"/>
      <c r="O42" s="36"/>
    </row>
    <row r="43" spans="1:15" x14ac:dyDescent="0.2">
      <c r="A43" s="50">
        <v>42252</v>
      </c>
      <c r="B43" s="51">
        <v>35.5</v>
      </c>
      <c r="C43" s="52">
        <v>7.9525462962962964E-2</v>
      </c>
      <c r="D43" s="51">
        <v>18.600000000000001</v>
      </c>
      <c r="E43" s="53">
        <v>389</v>
      </c>
      <c r="K43" s="36"/>
      <c r="L43" s="36"/>
      <c r="M43" s="36"/>
      <c r="N43" s="36"/>
      <c r="O43" s="36"/>
    </row>
    <row r="44" spans="1:15" ht="15" x14ac:dyDescent="0.25">
      <c r="A44" s="78">
        <v>42260</v>
      </c>
      <c r="B44" s="79">
        <v>49.76</v>
      </c>
      <c r="C44" s="80">
        <v>0.13597222222222222</v>
      </c>
      <c r="D44" s="79">
        <v>15.24</v>
      </c>
      <c r="E44" s="81">
        <v>1135</v>
      </c>
      <c r="F44" s="82" t="s">
        <v>136</v>
      </c>
      <c r="G44" s="83">
        <v>205</v>
      </c>
      <c r="H44" s="84">
        <v>0.14791666666666667</v>
      </c>
      <c r="I44" s="85" t="s">
        <v>137</v>
      </c>
      <c r="K44" s="36"/>
      <c r="L44" s="36"/>
      <c r="M44" s="36"/>
      <c r="N44" s="36"/>
      <c r="O44" s="36"/>
    </row>
    <row r="45" spans="1:15" x14ac:dyDescent="0.2">
      <c r="A45" s="50">
        <v>42260</v>
      </c>
      <c r="B45" s="51">
        <f>75.51-B44</f>
        <v>25.750000000000007</v>
      </c>
      <c r="C45" s="52">
        <v>4.9351851851851848E-2</v>
      </c>
      <c r="D45" s="51">
        <v>21.8</v>
      </c>
      <c r="E45" s="51">
        <f>1356-E44</f>
        <v>221</v>
      </c>
    </row>
    <row r="46" spans="1:15" x14ac:dyDescent="0.2">
      <c r="A46" s="50">
        <v>42272</v>
      </c>
      <c r="B46" s="51">
        <v>12.5</v>
      </c>
      <c r="C46" s="52">
        <v>2.5925925925925925E-2</v>
      </c>
      <c r="D46" s="51">
        <v>20.100000000000001</v>
      </c>
      <c r="E46" s="53">
        <v>307</v>
      </c>
    </row>
    <row r="47" spans="1:15" ht="15" x14ac:dyDescent="0.25">
      <c r="A47" s="78">
        <v>42273</v>
      </c>
      <c r="B47" s="79">
        <v>21.09</v>
      </c>
      <c r="C47" s="80">
        <v>6.3993055555555553E-2</v>
      </c>
      <c r="D47" s="79">
        <v>13.8</v>
      </c>
      <c r="E47" s="81">
        <v>1000</v>
      </c>
      <c r="F47" s="82" t="s">
        <v>138</v>
      </c>
      <c r="G47" s="83">
        <v>65</v>
      </c>
      <c r="H47" s="86">
        <v>6.3275462962962964E-2</v>
      </c>
    </row>
    <row r="48" spans="1:15" x14ac:dyDescent="0.2">
      <c r="A48" s="50">
        <v>42273</v>
      </c>
      <c r="B48" s="51">
        <v>20.610000000000003</v>
      </c>
      <c r="C48" s="52">
        <v>3.2685185185185178E-2</v>
      </c>
      <c r="D48" s="54">
        <v>15.91</v>
      </c>
      <c r="E48" s="53">
        <v>179</v>
      </c>
      <c r="H48" s="13"/>
    </row>
    <row r="49" spans="1:8" x14ac:dyDescent="0.2">
      <c r="A49" s="50">
        <v>42277</v>
      </c>
      <c r="B49" s="51">
        <v>25.62</v>
      </c>
      <c r="C49" s="52">
        <v>5.0416666666666665E-2</v>
      </c>
      <c r="D49" s="51">
        <v>21.18</v>
      </c>
      <c r="E49" s="53">
        <v>262</v>
      </c>
      <c r="H49" s="13"/>
    </row>
    <row r="50" spans="1:8" x14ac:dyDescent="0.2">
      <c r="A50" s="73">
        <v>42280</v>
      </c>
      <c r="B50" s="74">
        <v>50.31</v>
      </c>
      <c r="C50" s="75">
        <v>0.12660879629629629</v>
      </c>
      <c r="D50" s="89" t="s">
        <v>139</v>
      </c>
      <c r="E50" s="76">
        <v>230</v>
      </c>
      <c r="F50" s="620" t="s">
        <v>140</v>
      </c>
      <c r="G50" s="621"/>
      <c r="H50" s="621"/>
    </row>
    <row r="51" spans="1:8" x14ac:dyDescent="0.2">
      <c r="A51" s="50">
        <v>42283</v>
      </c>
      <c r="B51" s="51">
        <v>11.71</v>
      </c>
      <c r="C51" s="52">
        <v>2.6550925925925926E-2</v>
      </c>
      <c r="D51" s="51">
        <v>18.38</v>
      </c>
      <c r="E51" s="53">
        <v>117</v>
      </c>
      <c r="F51" s="88"/>
    </row>
    <row r="52" spans="1:8" x14ac:dyDescent="0.2">
      <c r="A52" s="50">
        <v>42289</v>
      </c>
      <c r="B52" s="51">
        <v>41.33</v>
      </c>
      <c r="C52" s="52">
        <v>8.1273148148148136E-2</v>
      </c>
      <c r="D52" s="51">
        <v>21.9</v>
      </c>
      <c r="E52" s="53">
        <v>442</v>
      </c>
      <c r="F52" s="88"/>
    </row>
    <row r="53" spans="1:8" x14ac:dyDescent="0.2">
      <c r="A53" s="50">
        <v>42290</v>
      </c>
      <c r="B53" s="51">
        <v>11.9</v>
      </c>
      <c r="C53" s="52">
        <v>2.480324074074074E-2</v>
      </c>
      <c r="D53" s="51">
        <v>19.989999999999998</v>
      </c>
      <c r="E53" s="53">
        <v>129</v>
      </c>
      <c r="F53" s="88"/>
    </row>
    <row r="54" spans="1:8" x14ac:dyDescent="0.2">
      <c r="A54" s="50">
        <v>42309</v>
      </c>
      <c r="B54" s="51">
        <v>53.09</v>
      </c>
      <c r="C54" s="52">
        <v>0.13372685185185185</v>
      </c>
      <c r="D54" s="51" t="s">
        <v>141</v>
      </c>
      <c r="E54" s="53">
        <v>296</v>
      </c>
    </row>
    <row r="55" spans="1:8" x14ac:dyDescent="0.2">
      <c r="A55" s="50">
        <v>42364</v>
      </c>
      <c r="B55" s="51">
        <v>35.119999999999997</v>
      </c>
      <c r="C55" s="52">
        <v>7.1712962962962964E-2</v>
      </c>
      <c r="D55" s="51">
        <v>20.399999999999999</v>
      </c>
      <c r="E55" s="53">
        <v>431</v>
      </c>
    </row>
    <row r="56" spans="1:8" x14ac:dyDescent="0.2">
      <c r="A56" s="50">
        <v>42365</v>
      </c>
      <c r="B56" s="51">
        <v>49.87</v>
      </c>
      <c r="C56" s="52">
        <v>9.7546296296296298E-2</v>
      </c>
      <c r="D56" s="51">
        <v>21.3</v>
      </c>
      <c r="E56" s="53">
        <v>248</v>
      </c>
    </row>
    <row r="57" spans="1:8" x14ac:dyDescent="0.2">
      <c r="A57" s="50"/>
      <c r="B57" s="51"/>
      <c r="C57" s="52"/>
      <c r="D57" s="51"/>
      <c r="E57" s="53"/>
    </row>
    <row r="58" spans="1:8" x14ac:dyDescent="0.2">
      <c r="A58" s="50"/>
      <c r="B58" s="51"/>
      <c r="C58" s="52"/>
      <c r="D58" s="51"/>
      <c r="E58" s="53"/>
    </row>
    <row r="59" spans="1:8" x14ac:dyDescent="0.2">
      <c r="A59" s="50"/>
      <c r="B59" s="51"/>
      <c r="C59" s="52"/>
      <c r="D59" s="51"/>
      <c r="E59" s="53"/>
    </row>
    <row r="60" spans="1:8" x14ac:dyDescent="0.2">
      <c r="A60" s="50"/>
      <c r="B60" s="51"/>
      <c r="C60" s="52"/>
      <c r="D60" s="51"/>
      <c r="E60" s="53"/>
    </row>
    <row r="61" spans="1:8" x14ac:dyDescent="0.2">
      <c r="A61" s="50"/>
      <c r="B61" s="51"/>
      <c r="C61" s="52"/>
      <c r="D61" s="51"/>
      <c r="E61" s="53"/>
    </row>
    <row r="62" spans="1:8" x14ac:dyDescent="0.2">
      <c r="A62" s="55"/>
      <c r="B62" s="51"/>
      <c r="C62" s="51"/>
      <c r="D62" s="51"/>
      <c r="E62" s="53"/>
    </row>
    <row r="63" spans="1:8" x14ac:dyDescent="0.2">
      <c r="A63" s="55"/>
      <c r="B63" s="51"/>
      <c r="C63" s="51"/>
      <c r="D63" s="51"/>
      <c r="E63" s="53"/>
    </row>
    <row r="64" spans="1:8" x14ac:dyDescent="0.2">
      <c r="A64" s="55"/>
      <c r="B64" s="51"/>
      <c r="C64" s="51"/>
      <c r="D64" s="51"/>
      <c r="E64" s="53"/>
    </row>
    <row r="65" spans="1:5" x14ac:dyDescent="0.2">
      <c r="A65" s="55"/>
      <c r="B65" s="51"/>
      <c r="C65" s="51"/>
      <c r="D65" s="51"/>
      <c r="E65" s="53"/>
    </row>
    <row r="66" spans="1:5" ht="13.5" thickBot="1" x14ac:dyDescent="0.25">
      <c r="A66" s="56"/>
      <c r="B66" s="57"/>
      <c r="C66" s="57"/>
      <c r="D66" s="57"/>
      <c r="E66" s="58"/>
    </row>
    <row r="68" spans="1:5" x14ac:dyDescent="0.2">
      <c r="A68" s="32" t="s">
        <v>178</v>
      </c>
      <c r="B68">
        <f>SUMIFS($B$2:$B$55,$A$2:$A$55,"&lt;1.2.2015")</f>
        <v>6.01</v>
      </c>
      <c r="C68">
        <f>COUNTIFS($A$2:$A$66,"&gt;=1.1.2015",$A$2:$A$66,"&lt;=31.1.2015")</f>
        <v>1</v>
      </c>
    </row>
    <row r="69" spans="1:5" x14ac:dyDescent="0.2">
      <c r="A69" s="32" t="s">
        <v>179</v>
      </c>
      <c r="B69">
        <f>SUMIFS($B$2:$B$56,$A$2:$A$56,"&lt;1.3.2015")-SUMIFS($B$2:$B$56,$A$2:$A$56,"&lt;1.2.2015")</f>
        <v>36.31</v>
      </c>
      <c r="C69">
        <f>COUNTIFS($A$2:$A$66,"&gt;=1.2.2015",$A$2:$A$66,"&lt;=28.2.2015")</f>
        <v>1</v>
      </c>
    </row>
    <row r="70" spans="1:5" x14ac:dyDescent="0.2">
      <c r="A70" s="32" t="s">
        <v>180</v>
      </c>
      <c r="B70">
        <f>SUMIFS($B$2:$B$56,$A$2:$A$56,"&lt;1.4.2015")-SUMIFS($B$2:$B$56,$A$2:$A$56,"&lt;1.3.2015")</f>
        <v>83.91</v>
      </c>
      <c r="C70">
        <f>COUNTIFS($A$2:$A$66,"&gt;=1.3.2015",$A$2:$A$66,"&lt;=31.3.2015")</f>
        <v>4</v>
      </c>
    </row>
    <row r="71" spans="1:5" x14ac:dyDescent="0.2">
      <c r="A71" s="32" t="s">
        <v>181</v>
      </c>
      <c r="B71">
        <f>SUMIFS($B$2:$B$56,$A$2:$A$56,"&lt;1.5.2015")-SUMIFS($B$2:$B$56,$A$2:$A$56,"&lt;1.4.2015")</f>
        <v>102.59000000000002</v>
      </c>
      <c r="C71">
        <f>COUNTIFS($A$2:$A$66,"&gt;=1.4.2015",$A$2:$A$66,"&lt;=30.4.2015")</f>
        <v>5</v>
      </c>
    </row>
    <row r="72" spans="1:5" x14ac:dyDescent="0.2">
      <c r="A72" s="32" t="s">
        <v>182</v>
      </c>
      <c r="B72">
        <f>SUMIFS($B$2:$B$56,$A$2:$A$56,"&lt;1.6.2015")-SUMIFS($B$2:$B$56,$A$2:$A$56,"&lt;1.5.2015")</f>
        <v>298.41999999999996</v>
      </c>
      <c r="C72">
        <f>COUNTIFS($A$2:$A$66,"&gt;=1.5.2015",$A$2:$A$66,"&lt;=31.5.2015")</f>
        <v>7</v>
      </c>
    </row>
    <row r="73" spans="1:5" x14ac:dyDescent="0.2">
      <c r="A73" s="32" t="s">
        <v>183</v>
      </c>
      <c r="B73">
        <f>SUMIFS($B$2:$B$56,$A$2:$A$56,"&lt;1.7.2015")-SUMIFS($B$2:$B$56,$A$2:$A$56,"&lt;1.6.2015")</f>
        <v>218.34000000000003</v>
      </c>
      <c r="C73">
        <f>COUNTIFS($A$2:$A$66,"&gt;=1.6.2015",$A$2:$A$66,"&lt;=30.6.2015")</f>
        <v>5</v>
      </c>
    </row>
    <row r="74" spans="1:5" x14ac:dyDescent="0.2">
      <c r="A74" s="32" t="s">
        <v>184</v>
      </c>
      <c r="B74">
        <f>SUMIFS($B$2:$B$56,$A$2:$A$56,"&lt;1.8.2015")-SUMIFS($B$2:$B$56,$A$2:$A$56,"&lt;1.7.2015")</f>
        <v>200.57999999999993</v>
      </c>
      <c r="C74">
        <f>COUNTIFS($A$2:$A$66,"&gt;=1.7.2015",$A$2:$A$66,"&lt;=31.7.2015")</f>
        <v>6</v>
      </c>
    </row>
    <row r="75" spans="1:5" x14ac:dyDescent="0.2">
      <c r="A75" s="32" t="s">
        <v>185</v>
      </c>
      <c r="B75">
        <f>SUMIFS($B$2:$B$56,$A$2:$A$56,"&lt;1.9.2015")-SUMIFS($B$2:$B$56,$A$2:$A$56,"&lt;1.8.2015")</f>
        <v>230.19999999999993</v>
      </c>
      <c r="C75">
        <f>COUNTIFS($A$2:$A$66,"&gt;=1.8.2015",$A$2:$A$66,"&lt;=31.8.2015")</f>
        <v>8</v>
      </c>
    </row>
    <row r="76" spans="1:5" x14ac:dyDescent="0.2">
      <c r="A76" s="32" t="s">
        <v>186</v>
      </c>
      <c r="B76">
        <f>SUMIFS($B$2:$B$56,$A$2:$A$56,"&lt;1.10.2015")-SUMIFS($B$2:$B$56,$A$2:$A$56,"&lt;1.9.2015")</f>
        <v>278.54999999999973</v>
      </c>
      <c r="C76">
        <f>COUNTIFS($A$2:$A$66,"&gt;=1.9.2015",$A$2:$A$66,"&lt;=30.9.2015")</f>
        <v>11</v>
      </c>
    </row>
    <row r="77" spans="1:5" x14ac:dyDescent="0.2">
      <c r="A77" s="32" t="s">
        <v>187</v>
      </c>
      <c r="B77">
        <f>SUMIFS($B$2:$B$56,$A$2:$A$56,"&lt;1.11.2015")-SUMIFS($B$2:$B$56,$A$2:$A$56,"&lt;1.10.2015")</f>
        <v>115.25</v>
      </c>
      <c r="C77">
        <f>COUNTIFS($A$2:$A$66,"&gt;=1.10.2015",$A$2:$A$66,"&lt;=31.10.2015")</f>
        <v>4</v>
      </c>
    </row>
    <row r="78" spans="1:5" x14ac:dyDescent="0.2">
      <c r="A78" s="32" t="s">
        <v>188</v>
      </c>
      <c r="B78">
        <f>SUMIFS($B$2:$B$56,$A$2:$A$56,"&lt;1.12.2015")-SUMIFS($B$2:$B$56,$A$2:$A$56,"&lt;1.11.2015")</f>
        <v>53.089999999999918</v>
      </c>
      <c r="C78">
        <f>COUNTIFS($A$2:$A$66,"&gt;=1.11.2015",$A$2:$A$66,"&lt;=30.11.2015")</f>
        <v>1</v>
      </c>
    </row>
    <row r="79" spans="1:5" x14ac:dyDescent="0.2">
      <c r="A79" s="32" t="s">
        <v>189</v>
      </c>
      <c r="B79">
        <f>SUMIFS($B$2:$B$56,$A$2:$A$56,"&lt;31.12.2015")-SUMIFS($B$2:$B$56,$A$2:$A$56,"&lt;1.12.2015")</f>
        <v>84.989999999999782</v>
      </c>
      <c r="C79">
        <f>COUNTIFS($A$2:$A$66,"&gt;=1.12.2015",$A$2:$A$66,"&lt;=31.12.2015")</f>
        <v>2</v>
      </c>
    </row>
    <row r="80" spans="1:5" x14ac:dyDescent="0.2">
      <c r="B80" s="97">
        <f>SUM(B68:B79)</f>
        <v>1708.2399999999993</v>
      </c>
      <c r="C80" s="97">
        <f>SUM(C68:C79)</f>
        <v>55</v>
      </c>
    </row>
    <row r="83" spans="1:2" x14ac:dyDescent="0.2">
      <c r="A83" s="136" t="s">
        <v>195</v>
      </c>
      <c r="B83" s="33">
        <f>SUMIFS(D2:D56,E2:E56,"&lt;500")/COUNTIFS(E2:E56,"&lt;500")</f>
        <v>18.330816326530602</v>
      </c>
    </row>
    <row r="84" spans="1:2" x14ac:dyDescent="0.2">
      <c r="A84" s="136" t="s">
        <v>196</v>
      </c>
      <c r="B84" s="33">
        <f>SUMIFS(D2:D56,E2:E56,"&gt;500",E2:E56,"&lt;1000")/COUNTIFS(E2:E56,"&gt;500",E2:E56,"&lt;1000")</f>
        <v>17.920000000000002</v>
      </c>
    </row>
    <row r="85" spans="1:2" x14ac:dyDescent="0.2">
      <c r="A85" s="136" t="s">
        <v>194</v>
      </c>
      <c r="B85" s="33">
        <f>SUMIFS(D2:D56,E2:E56,"&gt;1000")/COUNTIFS(E2:E56,"&gt;1000")</f>
        <v>16.47</v>
      </c>
    </row>
    <row r="87" spans="1:2" ht="13.5" thickBot="1" x14ac:dyDescent="0.25"/>
    <row r="88" spans="1:2" ht="15" thickBot="1" x14ac:dyDescent="0.25">
      <c r="A88" s="286" t="s">
        <v>278</v>
      </c>
      <c r="B88" s="287" t="s">
        <v>279</v>
      </c>
    </row>
    <row r="89" spans="1:2" x14ac:dyDescent="0.2">
      <c r="A89" s="281" t="s">
        <v>277</v>
      </c>
      <c r="B89" s="282">
        <f>COUNTIFS($B$2:$B$66,"&lt;10")</f>
        <v>2</v>
      </c>
    </row>
    <row r="90" spans="1:2" x14ac:dyDescent="0.2">
      <c r="A90" s="283" t="s">
        <v>274</v>
      </c>
      <c r="B90" s="280">
        <f>COUNTIFS($B$2:$B$66,"&gt;=10",$B$2:$B$66,"&lt;20")</f>
        <v>16</v>
      </c>
    </row>
    <row r="91" spans="1:2" x14ac:dyDescent="0.2">
      <c r="A91" s="283" t="s">
        <v>266</v>
      </c>
      <c r="B91" s="280">
        <f>COUNTIFS($B$2:$B$66,"&gt;=20",$B$2:$B$66,"&lt;30")</f>
        <v>13</v>
      </c>
    </row>
    <row r="92" spans="1:2" x14ac:dyDescent="0.2">
      <c r="A92" s="283" t="s">
        <v>268</v>
      </c>
      <c r="B92" s="280">
        <f>COUNTIFS($B$2:$B$66,"&gt;=30",$B$2:$B$66,"&lt;40")</f>
        <v>9</v>
      </c>
    </row>
    <row r="93" spans="1:2" x14ac:dyDescent="0.2">
      <c r="A93" s="283" t="s">
        <v>267</v>
      </c>
      <c r="B93" s="280">
        <f>COUNTIFS($B$2:$B$66,"&gt;=40",$B$2:$B$66,"&lt;50")</f>
        <v>8</v>
      </c>
    </row>
    <row r="94" spans="1:2" x14ac:dyDescent="0.2">
      <c r="A94" s="283" t="s">
        <v>269</v>
      </c>
      <c r="B94" s="280">
        <f>COUNTIFS($B$2:$B$66,"&gt;=50",$B$2:$B$66,"&lt;60")</f>
        <v>4</v>
      </c>
    </row>
    <row r="95" spans="1:2" x14ac:dyDescent="0.2">
      <c r="A95" s="283" t="s">
        <v>270</v>
      </c>
      <c r="B95" s="280">
        <f>COUNTIFS($B$2:$B$66,"&gt;=60",$B$2:$B$66,"&lt;=70")</f>
        <v>0</v>
      </c>
    </row>
    <row r="96" spans="1:2" x14ac:dyDescent="0.2">
      <c r="A96" s="283" t="s">
        <v>271</v>
      </c>
      <c r="B96" s="280">
        <f>COUNTIFS($B$2:$B$66,"&gt;=70",$B$2:$B$66,"&lt;80")</f>
        <v>2</v>
      </c>
    </row>
    <row r="97" spans="1:2" x14ac:dyDescent="0.2">
      <c r="A97" s="283" t="s">
        <v>272</v>
      </c>
      <c r="B97" s="280">
        <f>COUNTIFS($B$2:$B$66,"&gt;=80",$B$2:$B$66,"&lt;90")</f>
        <v>0</v>
      </c>
    </row>
    <row r="98" spans="1:2" x14ac:dyDescent="0.2">
      <c r="A98" s="283" t="s">
        <v>273</v>
      </c>
      <c r="B98" s="280">
        <f>COUNTIFS($B$2:$B$66,"&gt;=90",$B$2:$B$66,"&lt;=100")</f>
        <v>0</v>
      </c>
    </row>
    <row r="99" spans="1:2" x14ac:dyDescent="0.2">
      <c r="A99" s="283" t="s">
        <v>275</v>
      </c>
      <c r="B99" s="280">
        <f>COUNTIFS($B$2:$B$66,"&gt;=100",$B$2:$B$66,"&lt;110")</f>
        <v>0</v>
      </c>
    </row>
    <row r="100" spans="1:2" ht="13.5" thickBot="1" x14ac:dyDescent="0.25">
      <c r="A100" s="284" t="s">
        <v>276</v>
      </c>
      <c r="B100" s="285">
        <f>COUNTIFS($B$2:$B$66,"&gt;=110",$B$2:$B$66,"&lt;=150")</f>
        <v>1</v>
      </c>
    </row>
    <row r="101" spans="1:2" x14ac:dyDescent="0.2">
      <c r="A101" s="117"/>
      <c r="B101" s="117">
        <f>SUM(B89:B100)</f>
        <v>55</v>
      </c>
    </row>
  </sheetData>
  <mergeCells count="2">
    <mergeCell ref="F26:F29"/>
    <mergeCell ref="F50:H50"/>
  </mergeCells>
  <pageMargins left="0.7" right="0.7" top="0.78740157499999996" bottom="0.78740157499999996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280"/>
  <sheetViews>
    <sheetView zoomScaleNormal="100" workbookViewId="0">
      <selection activeCell="D37" sqref="D37"/>
    </sheetView>
  </sheetViews>
  <sheetFormatPr defaultRowHeight="12.75" x14ac:dyDescent="0.2"/>
  <cols>
    <col min="1" max="1" width="20.28515625" bestFit="1" customWidth="1"/>
    <col min="4" max="5" width="16" bestFit="1" customWidth="1"/>
    <col min="6" max="6" width="23.85546875" bestFit="1" customWidth="1"/>
  </cols>
  <sheetData>
    <row r="1" spans="1:7" x14ac:dyDescent="0.2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7" x14ac:dyDescent="0.2">
      <c r="A2" s="7">
        <v>41646</v>
      </c>
      <c r="B2" s="2">
        <v>12.68</v>
      </c>
      <c r="C2" s="3">
        <v>2.8958333333333336E-2</v>
      </c>
      <c r="D2" s="2">
        <v>18.239999999999998</v>
      </c>
      <c r="E2" s="8">
        <v>129</v>
      </c>
    </row>
    <row r="3" spans="1:7" x14ac:dyDescent="0.2">
      <c r="A3" s="7">
        <v>41650</v>
      </c>
      <c r="B3" s="2">
        <v>63.25</v>
      </c>
      <c r="C3" s="3">
        <v>0.12614583333333332</v>
      </c>
      <c r="D3" s="2">
        <v>20.89</v>
      </c>
      <c r="E3" s="8">
        <v>635</v>
      </c>
    </row>
    <row r="4" spans="1:7" x14ac:dyDescent="0.2">
      <c r="A4" s="7">
        <v>41692</v>
      </c>
      <c r="B4" s="2">
        <v>88.54</v>
      </c>
      <c r="C4" s="3">
        <v>0.16605324074074074</v>
      </c>
      <c r="D4" s="2">
        <v>22.21</v>
      </c>
      <c r="E4" s="8">
        <v>716</v>
      </c>
    </row>
    <row r="5" spans="1:7" x14ac:dyDescent="0.2">
      <c r="A5" s="7">
        <v>41712</v>
      </c>
      <c r="B5" s="2">
        <v>40.630000000000003</v>
      </c>
      <c r="C5" s="3">
        <v>8.172453703703704E-2</v>
      </c>
      <c r="D5" s="2">
        <v>20.72</v>
      </c>
      <c r="E5" s="8">
        <v>425</v>
      </c>
    </row>
    <row r="6" spans="1:7" x14ac:dyDescent="0.2">
      <c r="A6" s="7">
        <v>41719</v>
      </c>
      <c r="B6" s="2">
        <v>41.02</v>
      </c>
      <c r="C6" s="3">
        <v>8.8877314814814812E-2</v>
      </c>
      <c r="D6" s="2">
        <v>19.23</v>
      </c>
      <c r="E6" s="8">
        <v>417</v>
      </c>
    </row>
    <row r="7" spans="1:7" x14ac:dyDescent="0.2">
      <c r="A7" s="7">
        <v>41720</v>
      </c>
      <c r="B7" s="2">
        <v>89.47</v>
      </c>
      <c r="C7" s="3">
        <v>0.18384259259259259</v>
      </c>
      <c r="D7" s="2">
        <v>20.27</v>
      </c>
      <c r="E7" s="8">
        <v>740</v>
      </c>
      <c r="G7">
        <f>SUM(B2:B21)</f>
        <v>1008.3800000000001</v>
      </c>
    </row>
    <row r="8" spans="1:7" x14ac:dyDescent="0.2">
      <c r="A8" s="7">
        <v>41730</v>
      </c>
      <c r="B8" s="2">
        <v>15.2</v>
      </c>
      <c r="C8" s="3">
        <v>3.3402777777777774E-2</v>
      </c>
      <c r="D8" s="2">
        <v>18.96</v>
      </c>
      <c r="E8" s="8">
        <v>168</v>
      </c>
    </row>
    <row r="9" spans="1:7" x14ac:dyDescent="0.2">
      <c r="A9" s="7">
        <v>41733</v>
      </c>
      <c r="B9" s="2">
        <v>28.04</v>
      </c>
      <c r="C9" s="10">
        <v>5.6886574074074076E-2</v>
      </c>
      <c r="D9" s="2">
        <v>20.53</v>
      </c>
      <c r="E9" s="8">
        <v>257</v>
      </c>
    </row>
    <row r="10" spans="1:7" x14ac:dyDescent="0.2">
      <c r="A10" s="7">
        <v>41734</v>
      </c>
      <c r="B10" s="2">
        <v>89.27</v>
      </c>
      <c r="C10" s="3">
        <v>0.1888310185185185</v>
      </c>
      <c r="D10" s="2">
        <v>19.690000000000001</v>
      </c>
      <c r="E10" s="8">
        <v>1354</v>
      </c>
    </row>
    <row r="11" spans="1:7" x14ac:dyDescent="0.2">
      <c r="A11" s="7">
        <v>41754</v>
      </c>
      <c r="B11" s="2">
        <v>11.65</v>
      </c>
      <c r="C11" s="3">
        <v>2.5787037037037039E-2</v>
      </c>
      <c r="D11" s="2">
        <v>18.84</v>
      </c>
      <c r="E11" s="8">
        <v>117</v>
      </c>
    </row>
    <row r="12" spans="1:7" x14ac:dyDescent="0.2">
      <c r="A12" s="7">
        <v>41760</v>
      </c>
      <c r="B12" s="2">
        <v>11.9</v>
      </c>
      <c r="C12" s="3">
        <v>2.5578703703703704E-2</v>
      </c>
      <c r="D12" s="2">
        <v>19.39</v>
      </c>
      <c r="E12" s="8">
        <v>198</v>
      </c>
    </row>
    <row r="13" spans="1:7" x14ac:dyDescent="0.2">
      <c r="A13" s="7">
        <v>41767</v>
      </c>
      <c r="B13" s="2">
        <v>76.75</v>
      </c>
      <c r="C13" s="3">
        <v>0.15774305555555554</v>
      </c>
      <c r="D13" s="2">
        <v>20.27</v>
      </c>
      <c r="E13" s="8">
        <v>760</v>
      </c>
    </row>
    <row r="14" spans="1:7" x14ac:dyDescent="0.2">
      <c r="A14" s="7">
        <v>41769</v>
      </c>
      <c r="B14" s="2">
        <v>78.45</v>
      </c>
      <c r="C14" s="3">
        <v>0.16979166666666667</v>
      </c>
      <c r="D14" s="2">
        <v>19.25</v>
      </c>
      <c r="E14" s="8">
        <v>1275</v>
      </c>
    </row>
    <row r="15" spans="1:7" x14ac:dyDescent="0.2">
      <c r="A15" s="7">
        <v>41771</v>
      </c>
      <c r="B15" s="2">
        <v>27.5</v>
      </c>
      <c r="C15" s="3">
        <v>5.8171296296296297E-2</v>
      </c>
      <c r="D15" s="2">
        <v>19.690000000000001</v>
      </c>
      <c r="E15" s="8">
        <v>157</v>
      </c>
    </row>
    <row r="16" spans="1:7" x14ac:dyDescent="0.2">
      <c r="A16" s="7">
        <v>41780</v>
      </c>
      <c r="B16" s="2">
        <v>68.760000000000005</v>
      </c>
      <c r="C16" s="3">
        <v>0.14614583333333334</v>
      </c>
      <c r="D16" s="18" t="s">
        <v>127</v>
      </c>
      <c r="E16" s="8">
        <v>606</v>
      </c>
    </row>
    <row r="17" spans="1:23" x14ac:dyDescent="0.2">
      <c r="A17" s="7">
        <v>41781</v>
      </c>
      <c r="B17" s="2">
        <v>6.71</v>
      </c>
      <c r="C17" s="3">
        <v>1.4722222222222222E-2</v>
      </c>
      <c r="D17" s="2">
        <v>18.690000000000001</v>
      </c>
      <c r="E17" s="8">
        <v>30</v>
      </c>
    </row>
    <row r="18" spans="1:23" x14ac:dyDescent="0.2">
      <c r="A18" s="7">
        <v>41790</v>
      </c>
      <c r="B18" s="2">
        <v>89.99</v>
      </c>
      <c r="C18" s="3">
        <v>0.17168981481481482</v>
      </c>
      <c r="D18" s="2">
        <v>21.84</v>
      </c>
      <c r="E18" s="8">
        <v>887</v>
      </c>
      <c r="F18" s="31" t="s">
        <v>128</v>
      </c>
      <c r="O18" s="35"/>
      <c r="P18" s="36"/>
      <c r="Q18" s="36"/>
      <c r="R18" s="36"/>
      <c r="S18" s="36"/>
      <c r="T18" s="36"/>
      <c r="U18" s="36"/>
      <c r="V18" s="36"/>
      <c r="W18" s="36"/>
    </row>
    <row r="19" spans="1:23" x14ac:dyDescent="0.2">
      <c r="A19" s="7">
        <v>41791</v>
      </c>
      <c r="B19" s="2">
        <v>36.06</v>
      </c>
      <c r="C19" s="3">
        <v>8.6585648148148162E-2</v>
      </c>
      <c r="D19" s="2">
        <v>17.350000000000001</v>
      </c>
      <c r="E19" s="8">
        <v>430</v>
      </c>
      <c r="O19" s="35"/>
      <c r="P19" s="36"/>
      <c r="Q19" s="36"/>
      <c r="R19" s="36"/>
      <c r="S19" s="36"/>
      <c r="T19" s="36"/>
      <c r="U19" s="36"/>
      <c r="V19" s="36"/>
      <c r="W19" s="36"/>
    </row>
    <row r="20" spans="1:23" x14ac:dyDescent="0.2">
      <c r="A20" s="7">
        <v>41797</v>
      </c>
      <c r="B20" s="2">
        <v>85.4</v>
      </c>
      <c r="C20" s="3">
        <v>0.17430555555555557</v>
      </c>
      <c r="D20" s="2">
        <v>18.5</v>
      </c>
      <c r="E20" s="8">
        <v>1325</v>
      </c>
      <c r="O20" s="35"/>
      <c r="P20" s="36"/>
      <c r="Q20" s="36"/>
      <c r="R20" s="36"/>
      <c r="S20" s="36"/>
      <c r="T20" s="36"/>
      <c r="U20" s="36"/>
      <c r="V20" s="36"/>
      <c r="W20" s="36"/>
    </row>
    <row r="21" spans="1:23" x14ac:dyDescent="0.2">
      <c r="A21" s="7">
        <v>41800</v>
      </c>
      <c r="B21" s="2">
        <v>47.11</v>
      </c>
      <c r="C21" s="3">
        <v>9.6562499999999996E-2</v>
      </c>
      <c r="D21" s="2">
        <v>20.329999999999998</v>
      </c>
      <c r="E21" s="8">
        <v>344</v>
      </c>
      <c r="O21" s="36"/>
      <c r="P21" s="37"/>
      <c r="Q21" s="38"/>
      <c r="R21" s="39"/>
      <c r="S21" s="40"/>
      <c r="T21" s="38"/>
      <c r="U21" s="36"/>
      <c r="V21" s="36"/>
      <c r="W21" s="36"/>
    </row>
    <row r="22" spans="1:23" x14ac:dyDescent="0.2">
      <c r="A22" s="27">
        <v>41804</v>
      </c>
      <c r="B22" s="28">
        <v>48.29</v>
      </c>
      <c r="C22" s="29">
        <v>0.1449189814814815</v>
      </c>
      <c r="D22" s="28">
        <v>13.88</v>
      </c>
      <c r="E22" s="30">
        <v>1039</v>
      </c>
      <c r="F22" s="623" t="s">
        <v>131</v>
      </c>
      <c r="G22" s="627">
        <v>15</v>
      </c>
      <c r="O22" s="36"/>
      <c r="P22" s="36"/>
      <c r="Q22" s="36"/>
      <c r="R22" s="35"/>
      <c r="S22" s="36"/>
      <c r="T22" s="36"/>
      <c r="U22" s="36"/>
      <c r="V22" s="36"/>
      <c r="W22" s="36"/>
    </row>
    <row r="23" spans="1:23" x14ac:dyDescent="0.2">
      <c r="A23" s="27">
        <v>41805</v>
      </c>
      <c r="B23" s="28">
        <v>55.33</v>
      </c>
      <c r="C23" s="29">
        <v>0.17077546296296298</v>
      </c>
      <c r="D23" s="28">
        <v>11.7</v>
      </c>
      <c r="E23" s="30">
        <v>950</v>
      </c>
      <c r="F23" s="623"/>
      <c r="G23" s="627"/>
      <c r="O23" s="36"/>
      <c r="P23" s="36"/>
      <c r="Q23" s="36"/>
      <c r="R23" s="35"/>
      <c r="S23" s="36"/>
      <c r="T23" s="36"/>
      <c r="U23" s="36"/>
      <c r="V23" s="36"/>
      <c r="W23" s="36"/>
    </row>
    <row r="24" spans="1:23" x14ac:dyDescent="0.2">
      <c r="A24" s="7">
        <v>41817</v>
      </c>
      <c r="B24" s="2">
        <v>43.21</v>
      </c>
      <c r="C24" s="3">
        <v>8.4594907407407396E-2</v>
      </c>
      <c r="D24" s="2">
        <v>21.28</v>
      </c>
      <c r="E24" s="8">
        <v>476</v>
      </c>
      <c r="O24" s="36"/>
      <c r="P24" s="36"/>
      <c r="Q24" s="36"/>
      <c r="R24" s="36"/>
      <c r="S24" s="36"/>
      <c r="T24" s="36"/>
      <c r="U24" s="36"/>
      <c r="V24" s="36"/>
      <c r="W24" s="36"/>
    </row>
    <row r="25" spans="1:23" x14ac:dyDescent="0.2">
      <c r="A25" s="7">
        <v>41818</v>
      </c>
      <c r="B25" s="2">
        <v>35.07</v>
      </c>
      <c r="C25" s="3">
        <v>9.3912037037037044E-2</v>
      </c>
      <c r="D25" s="2">
        <v>15.56</v>
      </c>
      <c r="E25" s="8">
        <v>229</v>
      </c>
      <c r="O25" s="36"/>
      <c r="P25" s="36"/>
      <c r="Q25" s="36"/>
      <c r="R25" s="36"/>
      <c r="S25" s="36"/>
      <c r="T25" s="36"/>
      <c r="U25" s="36"/>
      <c r="V25" s="36"/>
      <c r="W25" s="36"/>
    </row>
    <row r="26" spans="1:23" x14ac:dyDescent="0.2">
      <c r="A26" s="19">
        <v>41824</v>
      </c>
      <c r="B26" s="20">
        <v>109.26</v>
      </c>
      <c r="C26" s="21">
        <v>0.22142361111111111</v>
      </c>
      <c r="D26" s="20">
        <v>19.989999999999998</v>
      </c>
      <c r="E26" s="22">
        <v>790</v>
      </c>
      <c r="F26" s="622" t="s">
        <v>129</v>
      </c>
      <c r="O26" s="36"/>
      <c r="P26" s="36"/>
      <c r="Q26" s="36"/>
      <c r="R26" s="36"/>
      <c r="S26" s="36"/>
      <c r="T26" s="36"/>
      <c r="U26" s="36"/>
      <c r="V26" s="36"/>
      <c r="W26" s="36"/>
    </row>
    <row r="27" spans="1:23" x14ac:dyDescent="0.2">
      <c r="A27" s="19">
        <v>41825</v>
      </c>
      <c r="B27" s="20">
        <v>114.72</v>
      </c>
      <c r="C27" s="21">
        <v>0.23266203703703703</v>
      </c>
      <c r="D27" s="20">
        <v>20.54</v>
      </c>
      <c r="E27" s="22">
        <v>746</v>
      </c>
      <c r="F27" s="622"/>
      <c r="O27" s="36"/>
      <c r="P27" s="36"/>
      <c r="Q27" s="36"/>
      <c r="R27" s="36"/>
      <c r="S27" s="36"/>
      <c r="T27" s="36"/>
      <c r="U27" s="36"/>
      <c r="V27" s="36"/>
      <c r="W27" s="36"/>
    </row>
    <row r="28" spans="1:23" x14ac:dyDescent="0.2">
      <c r="A28" s="19">
        <v>41826</v>
      </c>
      <c r="B28" s="20">
        <v>121.73</v>
      </c>
      <c r="C28" s="21">
        <v>0.25754629629629627</v>
      </c>
      <c r="D28" s="20">
        <v>19.73</v>
      </c>
      <c r="E28" s="22">
        <v>979</v>
      </c>
      <c r="F28" s="622"/>
      <c r="O28" s="36"/>
      <c r="P28" s="36"/>
      <c r="Q28" s="36"/>
      <c r="R28" s="36"/>
      <c r="S28" s="36"/>
      <c r="T28" s="36"/>
      <c r="U28" s="36"/>
      <c r="V28" s="36"/>
      <c r="W28" s="36"/>
    </row>
    <row r="29" spans="1:23" x14ac:dyDescent="0.2">
      <c r="A29" s="19">
        <v>41827</v>
      </c>
      <c r="B29" s="20">
        <v>79.87</v>
      </c>
      <c r="C29" s="21">
        <v>0.1605439814814815</v>
      </c>
      <c r="D29" s="20">
        <v>20.73</v>
      </c>
      <c r="E29" s="22">
        <v>281</v>
      </c>
      <c r="F29" s="622"/>
      <c r="O29" s="36"/>
      <c r="P29" s="36"/>
      <c r="Q29" s="36"/>
      <c r="R29" s="36"/>
      <c r="S29" s="36"/>
      <c r="T29" s="36"/>
      <c r="U29" s="36"/>
      <c r="V29" s="36"/>
      <c r="W29" s="36"/>
    </row>
    <row r="30" spans="1:23" x14ac:dyDescent="0.2">
      <c r="A30" s="23">
        <v>41833</v>
      </c>
      <c r="B30" s="24">
        <v>47.44</v>
      </c>
      <c r="C30" s="25">
        <v>0.13400462962962964</v>
      </c>
      <c r="D30" s="24">
        <v>14.75</v>
      </c>
      <c r="E30" s="26">
        <v>165</v>
      </c>
      <c r="F30" s="624" t="s">
        <v>130</v>
      </c>
    </row>
    <row r="31" spans="1:23" x14ac:dyDescent="0.2">
      <c r="A31" s="23">
        <v>41834</v>
      </c>
      <c r="B31" s="24">
        <v>46.32</v>
      </c>
      <c r="C31" s="25">
        <v>0.12638888888888888</v>
      </c>
      <c r="D31" s="24">
        <v>15.27</v>
      </c>
      <c r="E31" s="26">
        <v>158</v>
      </c>
      <c r="F31" s="624"/>
    </row>
    <row r="32" spans="1:23" x14ac:dyDescent="0.2">
      <c r="A32" s="23">
        <v>41835</v>
      </c>
      <c r="B32" s="24">
        <v>51.31</v>
      </c>
      <c r="C32" s="25">
        <v>0.13603009259259261</v>
      </c>
      <c r="D32" s="24">
        <v>15.71</v>
      </c>
      <c r="E32" s="26">
        <v>159</v>
      </c>
      <c r="F32" s="624"/>
    </row>
    <row r="33" spans="1:15" x14ac:dyDescent="0.2">
      <c r="A33" s="7">
        <v>41837</v>
      </c>
      <c r="B33" s="2">
        <v>17.309999999999999</v>
      </c>
      <c r="C33" s="3">
        <v>3.6967592592592594E-2</v>
      </c>
      <c r="D33" s="2">
        <v>19.510000000000002</v>
      </c>
      <c r="E33" s="8">
        <v>283</v>
      </c>
      <c r="M33" s="32"/>
    </row>
    <row r="34" spans="1:15" x14ac:dyDescent="0.2">
      <c r="A34" s="7">
        <v>41844</v>
      </c>
      <c r="B34" s="2">
        <v>11.98</v>
      </c>
      <c r="C34" s="3">
        <v>2.5092592592592593E-2</v>
      </c>
      <c r="D34" s="2">
        <v>19.89</v>
      </c>
      <c r="E34" s="8">
        <v>117</v>
      </c>
      <c r="L34" s="32"/>
    </row>
    <row r="35" spans="1:15" x14ac:dyDescent="0.2">
      <c r="A35" s="7">
        <v>41852</v>
      </c>
      <c r="B35" s="2">
        <v>11.95</v>
      </c>
      <c r="C35" s="3">
        <v>2.6377314814814815E-2</v>
      </c>
      <c r="D35" s="2">
        <v>18.88</v>
      </c>
      <c r="E35" s="8">
        <v>118</v>
      </c>
      <c r="J35" s="32"/>
    </row>
    <row r="36" spans="1:15" x14ac:dyDescent="0.2">
      <c r="A36" s="7">
        <v>41856</v>
      </c>
      <c r="B36" s="2">
        <v>5.87</v>
      </c>
      <c r="C36" s="3">
        <v>1.3055555555555556E-2</v>
      </c>
      <c r="D36" s="2">
        <v>18.7</v>
      </c>
      <c r="E36" s="8">
        <v>46</v>
      </c>
      <c r="K36" s="33"/>
    </row>
    <row r="37" spans="1:15" x14ac:dyDescent="0.2">
      <c r="A37" s="7">
        <v>41856</v>
      </c>
      <c r="B37" s="2">
        <v>5.9</v>
      </c>
      <c r="C37" s="3">
        <v>1.383101851851852E-2</v>
      </c>
      <c r="D37" s="2">
        <v>17.78</v>
      </c>
      <c r="E37" s="8">
        <v>108</v>
      </c>
    </row>
    <row r="38" spans="1:15" x14ac:dyDescent="0.2">
      <c r="A38" s="7">
        <v>41859</v>
      </c>
      <c r="B38" s="2">
        <v>14.12</v>
      </c>
      <c r="C38" s="3">
        <v>2.4155092592592589E-2</v>
      </c>
      <c r="D38" s="2">
        <v>18.920000000000002</v>
      </c>
      <c r="E38" s="8">
        <v>130</v>
      </c>
    </row>
    <row r="39" spans="1:15" x14ac:dyDescent="0.2">
      <c r="A39" s="7">
        <v>41863</v>
      </c>
      <c r="B39" s="2">
        <v>51.2</v>
      </c>
      <c r="C39" s="3">
        <v>9.8414351851851836E-2</v>
      </c>
      <c r="D39" s="2">
        <v>21.67</v>
      </c>
      <c r="E39" s="8">
        <v>644</v>
      </c>
    </row>
    <row r="40" spans="1:15" x14ac:dyDescent="0.2">
      <c r="A40" s="7">
        <v>41869</v>
      </c>
      <c r="B40" s="2">
        <v>34.78</v>
      </c>
      <c r="C40" s="3">
        <v>6.8657407407407403E-2</v>
      </c>
      <c r="D40" s="2">
        <v>21.11</v>
      </c>
      <c r="E40" s="8">
        <v>396</v>
      </c>
    </row>
    <row r="41" spans="1:15" x14ac:dyDescent="0.2">
      <c r="A41" s="7">
        <v>41870</v>
      </c>
      <c r="B41" s="2">
        <v>33.29</v>
      </c>
      <c r="C41" s="3">
        <v>5.8831018518518519E-2</v>
      </c>
      <c r="D41" s="2">
        <v>23.58</v>
      </c>
      <c r="E41" s="8">
        <v>229</v>
      </c>
    </row>
    <row r="42" spans="1:15" x14ac:dyDescent="0.2">
      <c r="A42" s="7">
        <v>41871</v>
      </c>
      <c r="B42" s="2">
        <v>12.2</v>
      </c>
      <c r="C42" s="3">
        <v>2.7430555555555555E-2</v>
      </c>
      <c r="D42" s="2">
        <v>18.899999999999999</v>
      </c>
      <c r="E42" s="8">
        <v>168</v>
      </c>
    </row>
    <row r="43" spans="1:15" x14ac:dyDescent="0.2">
      <c r="A43" s="7">
        <v>41887</v>
      </c>
      <c r="B43" s="2">
        <v>39.6</v>
      </c>
      <c r="C43" s="3">
        <v>7.7986111111111103E-2</v>
      </c>
      <c r="D43" s="2">
        <v>21.2</v>
      </c>
      <c r="E43" s="8">
        <v>325</v>
      </c>
    </row>
    <row r="44" spans="1:15" x14ac:dyDescent="0.2">
      <c r="A44" s="7">
        <v>41889</v>
      </c>
      <c r="B44" s="2">
        <v>63.99</v>
      </c>
      <c r="C44" s="3">
        <v>0.13942129629629629</v>
      </c>
      <c r="D44" s="2">
        <v>19.12</v>
      </c>
      <c r="E44" s="8">
        <v>587</v>
      </c>
    </row>
    <row r="45" spans="1:15" x14ac:dyDescent="0.2">
      <c r="A45" s="7">
        <v>41891</v>
      </c>
      <c r="B45" s="2">
        <v>19.63</v>
      </c>
      <c r="C45" s="3">
        <v>4.0706018518518516E-2</v>
      </c>
      <c r="D45" s="34">
        <v>20.87</v>
      </c>
      <c r="E45" s="8">
        <v>191</v>
      </c>
    </row>
    <row r="46" spans="1:15" x14ac:dyDescent="0.2">
      <c r="A46" s="7">
        <v>41892</v>
      </c>
      <c r="B46" s="2">
        <v>41.09</v>
      </c>
      <c r="C46" s="3">
        <v>7.5717592592592586E-2</v>
      </c>
      <c r="D46" s="2">
        <v>23.204999999999998</v>
      </c>
      <c r="E46" s="8">
        <v>392</v>
      </c>
      <c r="I46" s="36"/>
      <c r="J46" s="36"/>
      <c r="K46" s="36"/>
      <c r="L46" s="36"/>
      <c r="M46" s="36"/>
      <c r="N46" s="36"/>
      <c r="O46" s="36"/>
    </row>
    <row r="47" spans="1:15" x14ac:dyDescent="0.2">
      <c r="A47" s="7">
        <v>41902</v>
      </c>
      <c r="B47" s="2">
        <v>74.650000000000006</v>
      </c>
      <c r="C47" s="3">
        <v>0.15418981481481481</v>
      </c>
      <c r="D47" s="2">
        <v>20.170000000000002</v>
      </c>
      <c r="E47" s="8">
        <v>1061</v>
      </c>
      <c r="F47" t="s">
        <v>132</v>
      </c>
      <c r="I47" s="36"/>
      <c r="J47" s="37"/>
      <c r="K47" s="38"/>
      <c r="L47" s="39"/>
      <c r="M47" s="38"/>
      <c r="N47" s="38"/>
      <c r="O47" s="36"/>
    </row>
    <row r="48" spans="1:15" ht="15" customHeight="1" x14ac:dyDescent="0.25">
      <c r="A48" s="41">
        <v>41910</v>
      </c>
      <c r="B48" s="42">
        <v>20.350000000000001</v>
      </c>
      <c r="C48" s="43">
        <v>5.710648148148148E-2</v>
      </c>
      <c r="D48" s="625">
        <v>18.07</v>
      </c>
      <c r="E48" s="44">
        <v>1045</v>
      </c>
      <c r="F48" s="45" t="s">
        <v>133</v>
      </c>
      <c r="G48" s="46">
        <v>47</v>
      </c>
      <c r="I48" s="36"/>
      <c r="J48" s="36"/>
      <c r="K48" s="36"/>
      <c r="L48" s="35"/>
      <c r="M48" s="36"/>
      <c r="N48" s="36"/>
      <c r="O48" s="36"/>
    </row>
    <row r="49" spans="1:5" x14ac:dyDescent="0.2">
      <c r="A49" s="7">
        <v>41910</v>
      </c>
      <c r="B49" s="2">
        <v>12.86</v>
      </c>
      <c r="C49" s="3">
        <v>2.1504629629629627E-2</v>
      </c>
      <c r="D49" s="626"/>
      <c r="E49" s="8">
        <v>0</v>
      </c>
    </row>
    <row r="50" spans="1:5" x14ac:dyDescent="0.2">
      <c r="A50" s="7">
        <v>41912</v>
      </c>
      <c r="B50" s="2">
        <v>19.43</v>
      </c>
      <c r="C50" s="3">
        <v>4.2106481481481488E-2</v>
      </c>
      <c r="D50" s="2">
        <v>19.23</v>
      </c>
      <c r="E50" s="8">
        <v>190</v>
      </c>
    </row>
    <row r="51" spans="1:5" x14ac:dyDescent="0.2">
      <c r="A51" s="7">
        <v>41913</v>
      </c>
      <c r="B51" s="2">
        <v>16.77</v>
      </c>
      <c r="C51" s="3">
        <v>3.6435185185185189E-2</v>
      </c>
      <c r="D51" s="2">
        <v>19.170000000000002</v>
      </c>
      <c r="E51" s="8">
        <v>244</v>
      </c>
    </row>
    <row r="52" spans="1:5" x14ac:dyDescent="0.2">
      <c r="A52" s="7">
        <v>41922</v>
      </c>
      <c r="B52" s="2">
        <v>11.87</v>
      </c>
      <c r="C52" s="3">
        <v>2.4814814814814817E-2</v>
      </c>
      <c r="D52" s="2">
        <v>19.93</v>
      </c>
      <c r="E52" s="8">
        <v>117</v>
      </c>
    </row>
    <row r="53" spans="1:5" x14ac:dyDescent="0.2">
      <c r="A53" s="7">
        <v>41923</v>
      </c>
      <c r="B53" s="2">
        <v>105.55</v>
      </c>
      <c r="C53" s="3">
        <v>0.20815972222222223</v>
      </c>
      <c r="D53" s="2">
        <v>22.12</v>
      </c>
      <c r="E53" s="8">
        <v>1104</v>
      </c>
    </row>
    <row r="54" spans="1:5" x14ac:dyDescent="0.2">
      <c r="A54" s="7">
        <v>41933</v>
      </c>
      <c r="B54" s="2">
        <v>13.34</v>
      </c>
      <c r="C54" s="3">
        <v>3.1712962962962964E-2</v>
      </c>
      <c r="D54" s="2">
        <v>20.65</v>
      </c>
      <c r="E54" s="8">
        <v>136</v>
      </c>
    </row>
    <row r="55" spans="1:5" x14ac:dyDescent="0.2">
      <c r="A55" s="7">
        <v>41936</v>
      </c>
      <c r="B55" s="2">
        <v>41.98</v>
      </c>
      <c r="C55" s="3">
        <v>8.4398148148148153E-2</v>
      </c>
      <c r="D55" s="2">
        <v>20.72</v>
      </c>
      <c r="E55" s="8">
        <v>440</v>
      </c>
    </row>
    <row r="56" spans="1:5" x14ac:dyDescent="0.2">
      <c r="A56" s="7">
        <v>41947</v>
      </c>
      <c r="B56" s="2">
        <v>12.55</v>
      </c>
      <c r="C56" s="3">
        <v>2.9421296296296296E-2</v>
      </c>
      <c r="D56" s="2">
        <v>17.78</v>
      </c>
      <c r="E56" s="8">
        <v>130</v>
      </c>
    </row>
    <row r="57" spans="1:5" x14ac:dyDescent="0.2">
      <c r="A57" s="7">
        <v>41948</v>
      </c>
      <c r="B57" s="2">
        <v>12.54</v>
      </c>
      <c r="C57" s="3">
        <v>2.7523148148148147E-2</v>
      </c>
      <c r="D57" s="2">
        <v>18.98</v>
      </c>
      <c r="E57" s="8">
        <v>126</v>
      </c>
    </row>
    <row r="58" spans="1:5" x14ac:dyDescent="0.2">
      <c r="A58" s="7">
        <v>41964</v>
      </c>
      <c r="B58" s="2">
        <v>19.98</v>
      </c>
      <c r="C58" s="3">
        <v>4.2175925925925922E-2</v>
      </c>
      <c r="D58" s="2">
        <v>19.739999999999998</v>
      </c>
      <c r="E58" s="8">
        <v>212</v>
      </c>
    </row>
    <row r="59" spans="1:5" x14ac:dyDescent="0.2">
      <c r="A59" s="7">
        <v>41985</v>
      </c>
      <c r="B59" s="2">
        <v>39.659999999999997</v>
      </c>
      <c r="C59" s="3">
        <v>8.6203703703703713E-2</v>
      </c>
      <c r="D59" s="2">
        <v>19.170000000000002</v>
      </c>
      <c r="E59" s="8">
        <v>447</v>
      </c>
    </row>
    <row r="60" spans="1:5" x14ac:dyDescent="0.2">
      <c r="A60" s="7">
        <v>41987</v>
      </c>
      <c r="B60" s="2">
        <v>26.03</v>
      </c>
      <c r="C60" s="3">
        <v>5.8888888888888886E-2</v>
      </c>
      <c r="D60" s="2">
        <v>18.41</v>
      </c>
      <c r="E60" s="8">
        <v>361</v>
      </c>
    </row>
    <row r="61" spans="1:5" x14ac:dyDescent="0.2">
      <c r="A61" s="7">
        <v>41995</v>
      </c>
      <c r="B61" s="2">
        <v>29.15</v>
      </c>
      <c r="C61" s="47">
        <v>6.2789351851851846E-2</v>
      </c>
      <c r="D61" s="48">
        <v>19.34</v>
      </c>
      <c r="E61" s="49">
        <v>454</v>
      </c>
    </row>
    <row r="62" spans="1:5" x14ac:dyDescent="0.2">
      <c r="A62" s="9" t="s">
        <v>50</v>
      </c>
      <c r="B62" s="9" t="s">
        <v>50</v>
      </c>
      <c r="C62" s="9" t="s">
        <v>50</v>
      </c>
      <c r="D62" s="9" t="s">
        <v>50</v>
      </c>
      <c r="E62" s="9" t="s">
        <v>50</v>
      </c>
    </row>
    <row r="63" spans="1:5" x14ac:dyDescent="0.2">
      <c r="A63" s="9" t="s">
        <v>50</v>
      </c>
      <c r="B63" s="9" t="s">
        <v>50</v>
      </c>
      <c r="C63" s="9" t="s">
        <v>50</v>
      </c>
      <c r="D63" s="9" t="s">
        <v>50</v>
      </c>
      <c r="E63" s="9" t="s">
        <v>50</v>
      </c>
    </row>
    <row r="64" spans="1:5" x14ac:dyDescent="0.2">
      <c r="A64" s="9" t="s">
        <v>50</v>
      </c>
      <c r="B64" s="9" t="s">
        <v>50</v>
      </c>
      <c r="C64" s="9" t="s">
        <v>50</v>
      </c>
      <c r="D64" s="9" t="s">
        <v>50</v>
      </c>
      <c r="E64" s="9" t="s">
        <v>50</v>
      </c>
    </row>
    <row r="65" spans="1:5" x14ac:dyDescent="0.2">
      <c r="A65" s="9" t="s">
        <v>50</v>
      </c>
      <c r="B65" s="9" t="s">
        <v>50</v>
      </c>
      <c r="C65" s="9" t="s">
        <v>50</v>
      </c>
      <c r="D65" s="9" t="s">
        <v>50</v>
      </c>
      <c r="E65" s="9" t="s">
        <v>50</v>
      </c>
    </row>
    <row r="66" spans="1:5" x14ac:dyDescent="0.2">
      <c r="A66" s="9" t="s">
        <v>50</v>
      </c>
      <c r="B66" s="9" t="s">
        <v>50</v>
      </c>
      <c r="C66" s="9" t="s">
        <v>50</v>
      </c>
      <c r="D66" s="9" t="s">
        <v>50</v>
      </c>
      <c r="E66" s="9" t="s">
        <v>50</v>
      </c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32" t="s">
        <v>178</v>
      </c>
      <c r="B70">
        <f>SUMIFS($B$2:$B$61,$A$2:$A$61,"&lt;1.2.2014")</f>
        <v>75.930000000000007</v>
      </c>
      <c r="C70">
        <f>COUNTIFS($A$2:$A$66,"&gt;=1.1.2014",$A$2:$A$66,"&lt;=31.1.2014")</f>
        <v>2</v>
      </c>
      <c r="D70" s="1"/>
      <c r="E70" s="1"/>
    </row>
    <row r="71" spans="1:5" x14ac:dyDescent="0.2">
      <c r="A71" s="32" t="s">
        <v>179</v>
      </c>
      <c r="B71">
        <f>SUMIFS($B$2:$B$61,$A$2:$A$61,"&lt;1.3.2014")-SUMIFS($B$2:$B$61,$A$2:$A$61,"&lt;1.2.2014")</f>
        <v>88.54000000000002</v>
      </c>
      <c r="C71">
        <f>COUNTIFS($A$2:$A$66,"&gt;=1.2.2014",$A$2:$A$66,"&lt;=28.2.2014")</f>
        <v>1</v>
      </c>
      <c r="D71" s="1"/>
      <c r="E71" s="1"/>
    </row>
    <row r="72" spans="1:5" x14ac:dyDescent="0.2">
      <c r="A72" s="32" t="s">
        <v>180</v>
      </c>
      <c r="B72">
        <f>SUMIFS($B$2:$B$56,$A$2:$A$56,"&lt;1.4.2014")-SUMIFS($B$2:$B$56,$A$2:$A$56,"&lt;1.3.2014")</f>
        <v>171.12</v>
      </c>
      <c r="C72">
        <f>COUNTIFS($A$2:$A$66,"&gt;=1.3.2014",$A$2:$A$66,"&lt;=31.3.2014")</f>
        <v>3</v>
      </c>
      <c r="D72" s="1"/>
      <c r="E72" s="1"/>
    </row>
    <row r="73" spans="1:5" x14ac:dyDescent="0.2">
      <c r="A73" s="32" t="s">
        <v>181</v>
      </c>
      <c r="B73">
        <f>SUMIFS($B$2:$B$61,$A$2:$A$61,"&lt;1.5.2014")-SUMIFS($B$2:$B$61,$A$2:$A$61,"&lt;1.4.2014")</f>
        <v>144.15999999999997</v>
      </c>
      <c r="C73">
        <f>COUNTIFS($A$2:$A$66,"&gt;=1.4.2014",$A$2:$A$66,"&lt;=30.4.2014")</f>
        <v>4</v>
      </c>
      <c r="D73" s="1"/>
      <c r="E73" s="1"/>
    </row>
    <row r="74" spans="1:5" x14ac:dyDescent="0.2">
      <c r="A74" s="32" t="s">
        <v>182</v>
      </c>
      <c r="B74">
        <f>SUMIFS($B$2:$B$61,$A$2:$A$61,"&lt;1.6.2014")-SUMIFS($B$2:$B$61,$A$2:$A$61,"&lt;1.5.2014")</f>
        <v>360.06000000000006</v>
      </c>
      <c r="C74">
        <f>COUNTIFS($A$2:$A$66,"&gt;=1.5.2014",$A$2:$A$66,"&lt;=31.5.2014")</f>
        <v>7</v>
      </c>
      <c r="D74" s="1"/>
      <c r="E74" s="1"/>
    </row>
    <row r="75" spans="1:5" x14ac:dyDescent="0.2">
      <c r="A75" s="32" t="s">
        <v>183</v>
      </c>
      <c r="B75">
        <f>SUMIFS($B$2:$B$61,$A$2:$A$61,"&lt;1.7.2014")-SUMIFS($B$2:$B$61,$A$2:$A$61,"&lt;1.6.2014")</f>
        <v>350.46999999999991</v>
      </c>
      <c r="C75">
        <f>COUNTIFS($A$2:$A$66,"&gt;=1.6.2014",$A$2:$A$66,"&lt;=30.6.2014")</f>
        <v>7</v>
      </c>
      <c r="D75" s="1"/>
      <c r="E75" s="1"/>
    </row>
    <row r="76" spans="1:5" x14ac:dyDescent="0.2">
      <c r="A76" s="32" t="s">
        <v>184</v>
      </c>
      <c r="B76">
        <f>SUMIFS($B$2:$B$61,$A$2:$A$61,"&lt;1.8.2014")-SUMIFS($B$2:$B$61,$A$2:$A$61,"&lt;1.7.2014")</f>
        <v>599.94000000000005</v>
      </c>
      <c r="C76">
        <f>COUNTIFS($A$2:$A$66,"&gt;=1.7.2014",$A$2:$A$66,"&lt;=31.7.2014")</f>
        <v>9</v>
      </c>
      <c r="D76" s="1"/>
      <c r="E76" s="1"/>
    </row>
    <row r="77" spans="1:5" x14ac:dyDescent="0.2">
      <c r="A77" s="32" t="s">
        <v>185</v>
      </c>
      <c r="B77">
        <f>SUMIFS(B:B,A:A,"&lt;1.9.2014")-SUMIFS(B:B,A:A,"&lt;1.8.2014")</f>
        <v>169.30999999999995</v>
      </c>
      <c r="C77">
        <f>COUNTIFS($A$2:$A$66,"&gt;=1.8.2014",$A$2:$A$66,"&lt;=31.8.2014")</f>
        <v>8</v>
      </c>
      <c r="D77" s="1"/>
      <c r="E77" s="1"/>
    </row>
    <row r="78" spans="1:5" x14ac:dyDescent="0.2">
      <c r="A78" s="32" t="s">
        <v>186</v>
      </c>
      <c r="B78">
        <f>SUMIFS(B:B,A:A,"&lt;1.10.2014")-SUMIFS(B:B,A:A,"&lt;1.9.2014")</f>
        <v>291.60000000000014</v>
      </c>
      <c r="C78">
        <f>COUNTIFS($A$2:$A$66,"&gt;=1.9.2014",$A$2:$A$66,"&lt;=30.9.2014")</f>
        <v>8</v>
      </c>
      <c r="D78" s="1"/>
      <c r="E78" s="1"/>
    </row>
    <row r="79" spans="1:5" x14ac:dyDescent="0.2">
      <c r="A79" s="32" t="s">
        <v>187</v>
      </c>
      <c r="B79">
        <f>SUMIFS(B:B,A:A,"&lt;1.11.2014")-SUMIFS(B:B,A:A,"&lt;1.10.2014")</f>
        <v>189.51000000000022</v>
      </c>
      <c r="C79">
        <f>COUNTIFS($A$2:$A$66,"&gt;=1.10.2014",$A$2:$A$66,"&lt;=31.10.2014")</f>
        <v>5</v>
      </c>
      <c r="D79" s="1"/>
      <c r="E79" s="1"/>
    </row>
    <row r="80" spans="1:5" x14ac:dyDescent="0.2">
      <c r="A80" s="32" t="s">
        <v>188</v>
      </c>
      <c r="B80">
        <f>SUMIFS(B:B,A:A,"&lt;1.12.2014")-SUMIFS(B:B,A:A,"&lt;1.11.2014")</f>
        <v>45.070000000000164</v>
      </c>
      <c r="C80">
        <f>COUNTIFS($A$2:$A$66,"&gt;=1.11.2014",$A$2:$A$66,"&lt;=30.11.2014")</f>
        <v>3</v>
      </c>
      <c r="D80" s="1"/>
      <c r="E80" s="1"/>
    </row>
    <row r="81" spans="1:5" x14ac:dyDescent="0.2">
      <c r="A81" s="32" t="s">
        <v>189</v>
      </c>
      <c r="B81">
        <f>SUMIFS(B:B,A:A,"&lt;31.12.2014")-SUMIFS(B:B,A:A,"&lt;1.12.2014")</f>
        <v>94.840000000000146</v>
      </c>
      <c r="C81">
        <f>COUNTIFS($A$2:$A$66,"&gt;=1.12.2014",$A$2:$A$66,"&lt;=31.12.2014")</f>
        <v>3</v>
      </c>
      <c r="D81" s="1"/>
      <c r="E81" s="1"/>
    </row>
    <row r="82" spans="1:5" x14ac:dyDescent="0.2">
      <c r="B82" s="97">
        <f>SUM(B70:B81)</f>
        <v>2580.5500000000006</v>
      </c>
      <c r="C82" s="1">
        <f>SUM(C70:C81)</f>
        <v>60</v>
      </c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36" t="s">
        <v>195</v>
      </c>
      <c r="B85" s="33">
        <f>SUMIFS(D2:D61,E2:E61,"&lt;500")/COUNTIFS(E4:E58,"&lt;500")</f>
        <v>20.83608108108108</v>
      </c>
      <c r="C85" s="1"/>
      <c r="D85" s="1"/>
      <c r="E85" s="1"/>
    </row>
    <row r="86" spans="1:5" x14ac:dyDescent="0.2">
      <c r="A86" s="136" t="s">
        <v>196</v>
      </c>
      <c r="B86" s="33">
        <f>SUMIFS(D2:D61,E2:E61,"&gt;500",E2:E61,"&lt;1000")/COUNTIFS(E2:E61,"&gt;500",E2:E61,"&lt;1000")</f>
        <v>18.185833333333335</v>
      </c>
      <c r="C86" s="1"/>
      <c r="D86" s="1"/>
      <c r="E86" s="1"/>
    </row>
    <row r="87" spans="1:5" x14ac:dyDescent="0.2">
      <c r="A87" s="136" t="s">
        <v>194</v>
      </c>
      <c r="B87" s="33">
        <f>SUMIFS(D2:D61,E2:E61,"&gt;1000")/COUNTIFS(E2:E61,"&gt;1000")</f>
        <v>18.811428571428571</v>
      </c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ht="13.5" thickBot="1" x14ac:dyDescent="0.25">
      <c r="A89" s="1"/>
      <c r="B89" s="1"/>
      <c r="C89" s="1"/>
      <c r="D89" s="1"/>
      <c r="E89" s="1"/>
    </row>
    <row r="90" spans="1:5" ht="15" thickBot="1" x14ac:dyDescent="0.25">
      <c r="A90" s="286" t="s">
        <v>278</v>
      </c>
      <c r="B90" s="287" t="s">
        <v>279</v>
      </c>
      <c r="C90" s="1"/>
      <c r="D90" s="1"/>
      <c r="E90" s="1"/>
    </row>
    <row r="91" spans="1:5" x14ac:dyDescent="0.2">
      <c r="A91" s="281" t="s">
        <v>277</v>
      </c>
      <c r="B91" s="282">
        <f>COUNTIFS($B$2:$B$66,"&lt;=10")</f>
        <v>3</v>
      </c>
      <c r="C91" s="1"/>
      <c r="D91" s="1"/>
      <c r="E91" s="1"/>
    </row>
    <row r="92" spans="1:5" x14ac:dyDescent="0.2">
      <c r="A92" s="283" t="s">
        <v>274</v>
      </c>
      <c r="B92" s="280">
        <f>COUNTIFS($B$2:$B$66,"&gt;=10",$B$2:$B$66,"&lt;20")</f>
        <v>18</v>
      </c>
      <c r="C92" s="1"/>
      <c r="D92" s="1"/>
      <c r="E92" s="1"/>
    </row>
    <row r="93" spans="1:5" x14ac:dyDescent="0.2">
      <c r="A93" s="283" t="s">
        <v>266</v>
      </c>
      <c r="B93" s="280">
        <f>COUNTIFS($B$2:$B$66,"&gt;=20",$B$2:$B$66,"&lt;30")</f>
        <v>5</v>
      </c>
      <c r="C93" s="1"/>
      <c r="D93" s="1"/>
      <c r="E93" s="1"/>
    </row>
    <row r="94" spans="1:5" x14ac:dyDescent="0.2">
      <c r="A94" s="283" t="s">
        <v>268</v>
      </c>
      <c r="B94" s="280">
        <f>COUNTIFS($B$2:$B$66,"&gt;=30",$B$2:$B$66,"&lt;40")</f>
        <v>6</v>
      </c>
      <c r="C94" s="1"/>
      <c r="D94" s="1"/>
      <c r="E94" s="1"/>
    </row>
    <row r="95" spans="1:5" x14ac:dyDescent="0.2">
      <c r="A95" s="283" t="s">
        <v>267</v>
      </c>
      <c r="B95" s="280">
        <f>COUNTIFS($B$2:$B$66,"&gt;=40",$B$2:$B$66,"&lt;50")</f>
        <v>9</v>
      </c>
      <c r="C95" s="1"/>
      <c r="D95" s="1"/>
      <c r="E95" s="1"/>
    </row>
    <row r="96" spans="1:5" x14ac:dyDescent="0.2">
      <c r="A96" s="283" t="s">
        <v>269</v>
      </c>
      <c r="B96" s="280">
        <f>COUNTIFS($B$2:$B$66,"&gt;=50",$B$2:$B$66,"&lt;60")</f>
        <v>3</v>
      </c>
      <c r="C96" s="1"/>
      <c r="D96" s="1"/>
      <c r="E96" s="1"/>
    </row>
    <row r="97" spans="1:5" x14ac:dyDescent="0.2">
      <c r="A97" s="283" t="s">
        <v>270</v>
      </c>
      <c r="B97" s="280">
        <f>COUNTIFS($B$2:$B$66,"&gt;=60",$B$2:$B$66,"&lt;70")</f>
        <v>3</v>
      </c>
      <c r="C97" s="1"/>
      <c r="D97" s="1"/>
      <c r="E97" s="1"/>
    </row>
    <row r="98" spans="1:5" x14ac:dyDescent="0.2">
      <c r="A98" s="283" t="s">
        <v>271</v>
      </c>
      <c r="B98" s="280">
        <f>COUNTIFS($B$2:$B$66,"&gt;=70",$B$2:$B$66,"&lt;80")</f>
        <v>4</v>
      </c>
      <c r="C98" s="1"/>
      <c r="D98" s="1"/>
      <c r="E98" s="1"/>
    </row>
    <row r="99" spans="1:5" x14ac:dyDescent="0.2">
      <c r="A99" s="283" t="s">
        <v>272</v>
      </c>
      <c r="B99" s="280">
        <f>COUNTIFS($B$2:$B$66,"&gt;=80",$B$2:$B$66,"&lt;90")</f>
        <v>5</v>
      </c>
      <c r="C99" s="1"/>
      <c r="D99" s="1"/>
      <c r="E99" s="1"/>
    </row>
    <row r="100" spans="1:5" x14ac:dyDescent="0.2">
      <c r="A100" s="283" t="s">
        <v>273</v>
      </c>
      <c r="B100" s="280">
        <f>COUNTIFS($B$2:$B$66,"&gt;=90",$B$2:$B$66,"&lt;100")</f>
        <v>0</v>
      </c>
      <c r="C100" s="1"/>
      <c r="D100" s="1"/>
      <c r="E100" s="1"/>
    </row>
    <row r="101" spans="1:5" x14ac:dyDescent="0.2">
      <c r="A101" s="283" t="s">
        <v>275</v>
      </c>
      <c r="B101" s="280">
        <f>COUNTIFS($B$2:$B$66,"&gt;=100",$B$2:$B$66,"&lt;110")</f>
        <v>2</v>
      </c>
      <c r="C101" s="1"/>
      <c r="D101" s="1"/>
      <c r="E101" s="1"/>
    </row>
    <row r="102" spans="1:5" ht="13.5" thickBot="1" x14ac:dyDescent="0.25">
      <c r="A102" s="284" t="s">
        <v>276</v>
      </c>
      <c r="B102" s="285">
        <f>COUNTIFS($B$2:$B$66,"&gt;=110",$B$2:$B$66,"&lt;150")</f>
        <v>2</v>
      </c>
      <c r="C102" s="1"/>
      <c r="D102" s="1"/>
      <c r="E102" s="1"/>
    </row>
    <row r="103" spans="1:5" x14ac:dyDescent="0.2">
      <c r="A103" s="117"/>
      <c r="B103" s="117">
        <f>SUM(B91:B102)</f>
        <v>60</v>
      </c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  <row r="197" spans="1:5" x14ac:dyDescent="0.2">
      <c r="A197" s="1"/>
      <c r="B197" s="1"/>
      <c r="C197" s="1"/>
      <c r="D197" s="1"/>
      <c r="E197" s="1"/>
    </row>
    <row r="198" spans="1:5" x14ac:dyDescent="0.2">
      <c r="A198" s="1"/>
      <c r="B198" s="1"/>
      <c r="C198" s="1"/>
      <c r="D198" s="1"/>
      <c r="E198" s="1"/>
    </row>
    <row r="199" spans="1:5" x14ac:dyDescent="0.2">
      <c r="A199" s="1"/>
      <c r="B199" s="1"/>
      <c r="C199" s="1"/>
      <c r="D199" s="1"/>
      <c r="E199" s="1"/>
    </row>
    <row r="200" spans="1:5" x14ac:dyDescent="0.2">
      <c r="A200" s="1"/>
      <c r="B200" s="1"/>
      <c r="C200" s="1"/>
      <c r="D200" s="1"/>
      <c r="E200" s="1"/>
    </row>
    <row r="201" spans="1:5" x14ac:dyDescent="0.2">
      <c r="A201" s="1"/>
      <c r="B201" s="1"/>
      <c r="C201" s="1"/>
      <c r="D201" s="1"/>
      <c r="E201" s="1"/>
    </row>
    <row r="202" spans="1:5" x14ac:dyDescent="0.2">
      <c r="A202" s="1"/>
      <c r="B202" s="1"/>
      <c r="C202" s="1"/>
      <c r="D202" s="1"/>
      <c r="E202" s="1"/>
    </row>
    <row r="203" spans="1:5" x14ac:dyDescent="0.2">
      <c r="A203" s="1"/>
      <c r="B203" s="1"/>
      <c r="C203" s="1"/>
      <c r="D203" s="1"/>
      <c r="E203" s="1"/>
    </row>
    <row r="204" spans="1:5" x14ac:dyDescent="0.2">
      <c r="A204" s="1"/>
      <c r="B204" s="1"/>
      <c r="C204" s="1"/>
      <c r="D204" s="1"/>
      <c r="E204" s="1"/>
    </row>
    <row r="205" spans="1:5" x14ac:dyDescent="0.2">
      <c r="A205" s="1"/>
      <c r="B205" s="1"/>
      <c r="C205" s="1"/>
      <c r="D205" s="1"/>
      <c r="E205" s="1"/>
    </row>
    <row r="206" spans="1:5" x14ac:dyDescent="0.2">
      <c r="A206" s="1"/>
      <c r="B206" s="1"/>
      <c r="C206" s="1"/>
      <c r="D206" s="1"/>
      <c r="E206" s="1"/>
    </row>
    <row r="207" spans="1:5" x14ac:dyDescent="0.2">
      <c r="A207" s="1"/>
      <c r="B207" s="1"/>
      <c r="C207" s="1"/>
      <c r="D207" s="1"/>
      <c r="E207" s="1"/>
    </row>
    <row r="208" spans="1:5" x14ac:dyDescent="0.2">
      <c r="A208" s="1"/>
      <c r="B208" s="1"/>
      <c r="C208" s="1"/>
      <c r="D208" s="1"/>
      <c r="E208" s="1"/>
    </row>
    <row r="209" spans="1:5" x14ac:dyDescent="0.2">
      <c r="A209" s="1"/>
      <c r="B209" s="1"/>
      <c r="C209" s="1"/>
      <c r="D209" s="1"/>
      <c r="E209" s="1"/>
    </row>
    <row r="210" spans="1:5" x14ac:dyDescent="0.2">
      <c r="A210" s="1"/>
      <c r="B210" s="1"/>
      <c r="C210" s="1"/>
      <c r="D210" s="1"/>
      <c r="E210" s="1"/>
    </row>
    <row r="211" spans="1:5" x14ac:dyDescent="0.2">
      <c r="A211" s="1"/>
      <c r="B211" s="1"/>
      <c r="C211" s="1"/>
      <c r="D211" s="1"/>
      <c r="E211" s="1"/>
    </row>
    <row r="212" spans="1:5" x14ac:dyDescent="0.2">
      <c r="A212" s="1"/>
      <c r="B212" s="1"/>
      <c r="C212" s="1"/>
      <c r="D212" s="1"/>
      <c r="E212" s="1"/>
    </row>
    <row r="213" spans="1:5" x14ac:dyDescent="0.2">
      <c r="A213" s="1"/>
      <c r="B213" s="1"/>
      <c r="C213" s="1"/>
      <c r="D213" s="1"/>
      <c r="E213" s="1"/>
    </row>
    <row r="214" spans="1:5" x14ac:dyDescent="0.2">
      <c r="A214" s="1"/>
      <c r="B214" s="1"/>
      <c r="C214" s="1"/>
      <c r="D214" s="1"/>
      <c r="E214" s="1"/>
    </row>
    <row r="215" spans="1:5" x14ac:dyDescent="0.2">
      <c r="A215" s="1"/>
      <c r="B215" s="1"/>
      <c r="C215" s="1"/>
      <c r="D215" s="1"/>
      <c r="E215" s="1"/>
    </row>
    <row r="216" spans="1:5" x14ac:dyDescent="0.2">
      <c r="A216" s="1"/>
      <c r="B216" s="1"/>
      <c r="C216" s="1"/>
      <c r="D216" s="1"/>
      <c r="E216" s="1"/>
    </row>
    <row r="217" spans="1:5" x14ac:dyDescent="0.2">
      <c r="A217" s="1"/>
      <c r="B217" s="1"/>
      <c r="C217" s="1"/>
      <c r="D217" s="1"/>
      <c r="E217" s="1"/>
    </row>
    <row r="218" spans="1:5" x14ac:dyDescent="0.2">
      <c r="A218" s="1"/>
      <c r="B218" s="1"/>
      <c r="C218" s="1"/>
      <c r="D218" s="1"/>
      <c r="E218" s="1"/>
    </row>
    <row r="219" spans="1:5" x14ac:dyDescent="0.2">
      <c r="A219" s="1"/>
      <c r="B219" s="1"/>
      <c r="C219" s="1"/>
      <c r="D219" s="1"/>
      <c r="E219" s="1"/>
    </row>
    <row r="220" spans="1:5" x14ac:dyDescent="0.2">
      <c r="A220" s="1"/>
      <c r="B220" s="1"/>
      <c r="C220" s="1"/>
      <c r="D220" s="1"/>
      <c r="E220" s="1"/>
    </row>
    <row r="221" spans="1:5" x14ac:dyDescent="0.2">
      <c r="A221" s="1"/>
      <c r="B221" s="1"/>
      <c r="C221" s="1"/>
      <c r="D221" s="1"/>
      <c r="E221" s="1"/>
    </row>
    <row r="222" spans="1:5" x14ac:dyDescent="0.2">
      <c r="A222" s="1"/>
      <c r="B222" s="1"/>
      <c r="C222" s="1"/>
      <c r="D222" s="1"/>
      <c r="E222" s="1"/>
    </row>
    <row r="223" spans="1:5" x14ac:dyDescent="0.2">
      <c r="A223" s="1"/>
      <c r="B223" s="1"/>
      <c r="C223" s="1"/>
      <c r="D223" s="1"/>
      <c r="E223" s="1"/>
    </row>
    <row r="224" spans="1:5" x14ac:dyDescent="0.2">
      <c r="A224" s="1"/>
      <c r="B224" s="1"/>
      <c r="C224" s="1"/>
      <c r="D224" s="1"/>
      <c r="E224" s="1"/>
    </row>
    <row r="225" spans="1:5" x14ac:dyDescent="0.2">
      <c r="A225" s="1"/>
      <c r="B225" s="1"/>
      <c r="C225" s="1"/>
      <c r="D225" s="1"/>
      <c r="E225" s="1"/>
    </row>
    <row r="226" spans="1:5" x14ac:dyDescent="0.2">
      <c r="A226" s="1"/>
      <c r="B226" s="1"/>
      <c r="C226" s="1"/>
      <c r="D226" s="1"/>
      <c r="E226" s="1"/>
    </row>
    <row r="227" spans="1:5" x14ac:dyDescent="0.2">
      <c r="A227" s="1"/>
      <c r="B227" s="1"/>
      <c r="C227" s="1"/>
      <c r="D227" s="1"/>
      <c r="E227" s="1"/>
    </row>
    <row r="228" spans="1:5" x14ac:dyDescent="0.2">
      <c r="A228" s="1"/>
      <c r="B228" s="1"/>
      <c r="C228" s="1"/>
      <c r="D228" s="1"/>
      <c r="E228" s="1"/>
    </row>
    <row r="229" spans="1:5" x14ac:dyDescent="0.2">
      <c r="A229" s="1"/>
      <c r="B229" s="1"/>
      <c r="C229" s="1"/>
      <c r="D229" s="1"/>
      <c r="E229" s="1"/>
    </row>
    <row r="230" spans="1:5" x14ac:dyDescent="0.2">
      <c r="A230" s="1"/>
      <c r="B230" s="1"/>
      <c r="C230" s="1"/>
      <c r="D230" s="1"/>
      <c r="E230" s="1"/>
    </row>
    <row r="231" spans="1:5" x14ac:dyDescent="0.2">
      <c r="A231" s="1"/>
      <c r="B231" s="1"/>
      <c r="C231" s="1"/>
      <c r="D231" s="1"/>
      <c r="E231" s="1"/>
    </row>
    <row r="232" spans="1:5" x14ac:dyDescent="0.2">
      <c r="A232" s="1"/>
      <c r="B232" s="1"/>
      <c r="C232" s="1"/>
      <c r="D232" s="1"/>
      <c r="E232" s="1"/>
    </row>
    <row r="233" spans="1:5" x14ac:dyDescent="0.2">
      <c r="A233" s="1"/>
      <c r="B233" s="1"/>
      <c r="C233" s="1"/>
      <c r="D233" s="1"/>
      <c r="E233" s="1"/>
    </row>
    <row r="234" spans="1:5" x14ac:dyDescent="0.2">
      <c r="A234" s="1"/>
      <c r="B234" s="1"/>
      <c r="C234" s="1"/>
      <c r="D234" s="1"/>
      <c r="E234" s="1"/>
    </row>
    <row r="235" spans="1:5" x14ac:dyDescent="0.2">
      <c r="A235" s="1"/>
      <c r="B235" s="1"/>
      <c r="C235" s="1"/>
      <c r="D235" s="1"/>
      <c r="E235" s="1"/>
    </row>
    <row r="236" spans="1:5" x14ac:dyDescent="0.2">
      <c r="A236" s="1"/>
      <c r="B236" s="1"/>
      <c r="C236" s="1"/>
      <c r="D236" s="1"/>
      <c r="E236" s="1"/>
    </row>
    <row r="237" spans="1:5" x14ac:dyDescent="0.2">
      <c r="A237" s="1"/>
      <c r="B237" s="1"/>
      <c r="C237" s="1"/>
      <c r="D237" s="1"/>
      <c r="E237" s="1"/>
    </row>
    <row r="238" spans="1:5" x14ac:dyDescent="0.2">
      <c r="A238" s="1"/>
      <c r="B238" s="1"/>
      <c r="C238" s="1"/>
      <c r="D238" s="1"/>
      <c r="E238" s="1"/>
    </row>
    <row r="239" spans="1:5" x14ac:dyDescent="0.2">
      <c r="A239" s="1"/>
      <c r="B239" s="1"/>
      <c r="C239" s="1"/>
      <c r="D239" s="1"/>
      <c r="E239" s="1"/>
    </row>
    <row r="240" spans="1:5" x14ac:dyDescent="0.2">
      <c r="A240" s="1"/>
      <c r="B240" s="1"/>
      <c r="C240" s="1"/>
      <c r="D240" s="1"/>
      <c r="E240" s="1"/>
    </row>
    <row r="241" spans="1:5" x14ac:dyDescent="0.2">
      <c r="A241" s="1"/>
      <c r="B241" s="1"/>
      <c r="C241" s="1"/>
      <c r="D241" s="1"/>
      <c r="E241" s="1"/>
    </row>
    <row r="242" spans="1:5" x14ac:dyDescent="0.2">
      <c r="A242" s="1"/>
      <c r="B242" s="1"/>
      <c r="C242" s="1"/>
      <c r="D242" s="1"/>
      <c r="E242" s="1"/>
    </row>
    <row r="243" spans="1:5" x14ac:dyDescent="0.2">
      <c r="A243" s="1"/>
      <c r="B243" s="1"/>
      <c r="C243" s="1"/>
      <c r="D243" s="1"/>
      <c r="E243" s="1"/>
    </row>
    <row r="244" spans="1:5" x14ac:dyDescent="0.2">
      <c r="A244" s="1"/>
      <c r="B244" s="1"/>
      <c r="C244" s="1"/>
      <c r="D244" s="1"/>
      <c r="E244" s="1"/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  <row r="278" spans="1:5" x14ac:dyDescent="0.2">
      <c r="A278" s="1"/>
      <c r="B278" s="1"/>
      <c r="C278" s="1"/>
      <c r="D278" s="1"/>
      <c r="E278" s="1"/>
    </row>
    <row r="279" spans="1:5" x14ac:dyDescent="0.2">
      <c r="A279" s="1"/>
      <c r="B279" s="1"/>
      <c r="C279" s="1"/>
      <c r="D279" s="1"/>
      <c r="E279" s="1"/>
    </row>
    <row r="280" spans="1:5" x14ac:dyDescent="0.2">
      <c r="A280" s="1"/>
      <c r="B280" s="1"/>
      <c r="C280" s="1"/>
      <c r="D280" s="1"/>
      <c r="E280" s="1"/>
    </row>
  </sheetData>
  <mergeCells count="5">
    <mergeCell ref="F26:F29"/>
    <mergeCell ref="F22:F23"/>
    <mergeCell ref="F30:F32"/>
    <mergeCell ref="D48:D49"/>
    <mergeCell ref="G22:G23"/>
  </mergeCells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5"/>
  <sheetViews>
    <sheetView workbookViewId="0">
      <selection activeCell="B22" sqref="B22"/>
    </sheetView>
  </sheetViews>
  <sheetFormatPr defaultRowHeight="12.75" x14ac:dyDescent="0.2"/>
  <cols>
    <col min="1" max="1" width="10.140625" bestFit="1" customWidth="1"/>
    <col min="2" max="2" width="103.85546875" customWidth="1"/>
    <col min="3" max="3" width="27" bestFit="1" customWidth="1"/>
    <col min="4" max="4" width="10.140625" bestFit="1" customWidth="1"/>
    <col min="6" max="6" width="12.28515625" bestFit="1" customWidth="1"/>
  </cols>
  <sheetData>
    <row r="1" spans="1:8" x14ac:dyDescent="0.2">
      <c r="A1" t="s">
        <v>0</v>
      </c>
      <c r="B1" t="s">
        <v>94</v>
      </c>
      <c r="C1" t="s">
        <v>126</v>
      </c>
      <c r="D1" t="s">
        <v>95</v>
      </c>
      <c r="E1" t="s">
        <v>96</v>
      </c>
      <c r="F1" t="s">
        <v>97</v>
      </c>
      <c r="G1" t="s">
        <v>98</v>
      </c>
      <c r="H1" t="s">
        <v>99</v>
      </c>
    </row>
    <row r="2" spans="1:8" x14ac:dyDescent="0.2">
      <c r="A2" s="12">
        <v>41349</v>
      </c>
      <c r="B2" t="s">
        <v>100</v>
      </c>
      <c r="C2">
        <v>23.2</v>
      </c>
      <c r="D2">
        <v>21.74</v>
      </c>
      <c r="E2" s="13">
        <v>4.4340277777777777E-2</v>
      </c>
    </row>
    <row r="3" spans="1:8" x14ac:dyDescent="0.2">
      <c r="A3" s="12">
        <v>41378</v>
      </c>
      <c r="B3" t="s">
        <v>101</v>
      </c>
      <c r="C3">
        <v>103.08</v>
      </c>
      <c r="D3">
        <v>20.38</v>
      </c>
      <c r="E3" s="13">
        <v>0.21072916666666666</v>
      </c>
    </row>
    <row r="4" spans="1:8" x14ac:dyDescent="0.2">
      <c r="A4" s="12">
        <v>41379</v>
      </c>
      <c r="B4" t="s">
        <v>102</v>
      </c>
      <c r="C4">
        <v>44.03</v>
      </c>
      <c r="D4">
        <v>18.96</v>
      </c>
      <c r="E4" s="13">
        <v>9.677083333333332E-2</v>
      </c>
    </row>
    <row r="5" spans="1:8" x14ac:dyDescent="0.2">
      <c r="A5" s="12">
        <v>41385</v>
      </c>
      <c r="B5" t="s">
        <v>103</v>
      </c>
      <c r="C5">
        <v>71.510000000000005</v>
      </c>
      <c r="D5">
        <v>19.14</v>
      </c>
      <c r="E5" s="13">
        <v>0.15565972222222221</v>
      </c>
    </row>
    <row r="6" spans="1:8" x14ac:dyDescent="0.2">
      <c r="A6" s="12">
        <v>41386</v>
      </c>
      <c r="B6" t="s">
        <v>104</v>
      </c>
      <c r="C6">
        <v>31.1</v>
      </c>
      <c r="D6">
        <v>20.41</v>
      </c>
      <c r="E6" s="13">
        <v>6.3483796296296302E-2</v>
      </c>
    </row>
    <row r="7" spans="1:8" x14ac:dyDescent="0.2">
      <c r="A7" s="12">
        <v>41399</v>
      </c>
      <c r="B7" t="s">
        <v>105</v>
      </c>
      <c r="C7">
        <v>47.54</v>
      </c>
      <c r="D7">
        <v>22.01</v>
      </c>
      <c r="E7" s="13">
        <v>9.0555555555555556E-2</v>
      </c>
    </row>
    <row r="8" spans="1:8" x14ac:dyDescent="0.2">
      <c r="A8" s="12">
        <v>41410</v>
      </c>
      <c r="B8" t="s">
        <v>106</v>
      </c>
      <c r="C8">
        <v>20.85</v>
      </c>
      <c r="D8">
        <v>21.62</v>
      </c>
      <c r="E8" s="13">
        <v>4.0196759259259258E-2</v>
      </c>
    </row>
    <row r="9" spans="1:8" x14ac:dyDescent="0.2">
      <c r="A9" s="12">
        <v>41413</v>
      </c>
      <c r="B9" t="s">
        <v>107</v>
      </c>
      <c r="C9">
        <v>106.75</v>
      </c>
      <c r="D9">
        <v>20.83</v>
      </c>
      <c r="E9" s="13">
        <v>0.2134722222222222</v>
      </c>
      <c r="F9" t="s">
        <v>108</v>
      </c>
    </row>
    <row r="10" spans="1:8" x14ac:dyDescent="0.2">
      <c r="A10" s="12">
        <v>41436</v>
      </c>
      <c r="B10" t="s">
        <v>109</v>
      </c>
      <c r="C10">
        <v>22.25</v>
      </c>
      <c r="D10">
        <v>19.649999999999999</v>
      </c>
      <c r="E10" s="13">
        <v>4.7175925925925927E-2</v>
      </c>
    </row>
    <row r="11" spans="1:8" x14ac:dyDescent="0.2">
      <c r="A11" s="12">
        <v>41437</v>
      </c>
      <c r="B11" t="s">
        <v>110</v>
      </c>
      <c r="C11">
        <v>21.25</v>
      </c>
      <c r="D11" t="s">
        <v>111</v>
      </c>
    </row>
    <row r="12" spans="1:8" x14ac:dyDescent="0.2">
      <c r="A12" s="12">
        <v>41440</v>
      </c>
      <c r="B12" t="s">
        <v>112</v>
      </c>
      <c r="C12">
        <v>92.7</v>
      </c>
      <c r="D12">
        <v>17.100000000000001</v>
      </c>
      <c r="E12" s="13">
        <v>0.22577546296296294</v>
      </c>
      <c r="F12">
        <v>77.22</v>
      </c>
      <c r="G12">
        <v>2052</v>
      </c>
      <c r="H12">
        <v>1510</v>
      </c>
    </row>
    <row r="13" spans="1:8" x14ac:dyDescent="0.2">
      <c r="A13" s="12">
        <v>41443</v>
      </c>
      <c r="B13" t="s">
        <v>113</v>
      </c>
      <c r="C13">
        <v>45.53</v>
      </c>
      <c r="D13">
        <v>20.64</v>
      </c>
      <c r="E13" s="13">
        <v>9.195601851851852E-2</v>
      </c>
      <c r="G13">
        <v>264</v>
      </c>
    </row>
    <row r="14" spans="1:8" x14ac:dyDescent="0.2">
      <c r="A14" s="12">
        <v>41445</v>
      </c>
      <c r="B14" t="s">
        <v>7</v>
      </c>
      <c r="C14">
        <v>34.82</v>
      </c>
      <c r="D14">
        <v>21.42</v>
      </c>
      <c r="E14" s="13">
        <v>6.7743055555555556E-2</v>
      </c>
    </row>
    <row r="15" spans="1:8" x14ac:dyDescent="0.2">
      <c r="A15" s="157">
        <v>41454</v>
      </c>
      <c r="B15" s="158" t="s">
        <v>114</v>
      </c>
      <c r="C15" s="158">
        <v>63.41</v>
      </c>
      <c r="D15" s="158">
        <v>15.51</v>
      </c>
      <c r="E15" s="159">
        <v>0.16922453703703702</v>
      </c>
      <c r="F15" s="158"/>
      <c r="G15" s="158">
        <v>1385</v>
      </c>
    </row>
    <row r="16" spans="1:8" x14ac:dyDescent="0.2">
      <c r="A16" s="12">
        <v>41459</v>
      </c>
      <c r="B16" t="s">
        <v>115</v>
      </c>
      <c r="C16">
        <v>43.23</v>
      </c>
      <c r="D16">
        <v>18.14</v>
      </c>
      <c r="E16" s="13">
        <v>9.9270833333333322E-2</v>
      </c>
      <c r="G16">
        <v>142</v>
      </c>
    </row>
    <row r="17" spans="1:7" x14ac:dyDescent="0.2">
      <c r="A17" s="12">
        <v>41460</v>
      </c>
      <c r="B17" t="s">
        <v>116</v>
      </c>
      <c r="C17">
        <v>59.26</v>
      </c>
      <c r="D17">
        <v>17.98</v>
      </c>
      <c r="E17" s="13">
        <v>0.13730324074074074</v>
      </c>
      <c r="G17">
        <v>373</v>
      </c>
    </row>
    <row r="18" spans="1:7" x14ac:dyDescent="0.2">
      <c r="A18" s="12">
        <v>41461</v>
      </c>
      <c r="B18" t="s">
        <v>117</v>
      </c>
      <c r="C18">
        <v>100.27</v>
      </c>
      <c r="D18">
        <v>18.510000000000002</v>
      </c>
      <c r="E18" s="13">
        <v>0.22562499999999999</v>
      </c>
      <c r="G18">
        <v>736</v>
      </c>
    </row>
    <row r="19" spans="1:7" x14ac:dyDescent="0.2">
      <c r="A19" s="12">
        <v>41462</v>
      </c>
      <c r="B19" t="s">
        <v>118</v>
      </c>
      <c r="C19">
        <v>106.21</v>
      </c>
      <c r="D19">
        <v>17.95</v>
      </c>
      <c r="E19" s="13">
        <v>0.24650462962962963</v>
      </c>
      <c r="G19">
        <v>254</v>
      </c>
    </row>
    <row r="20" spans="1:7" x14ac:dyDescent="0.2">
      <c r="A20" s="12">
        <v>41463</v>
      </c>
      <c r="B20" t="s">
        <v>119</v>
      </c>
      <c r="C20">
        <v>75.900000000000006</v>
      </c>
      <c r="D20">
        <v>17.329999999999998</v>
      </c>
      <c r="E20" s="13">
        <v>0.1824537037037037</v>
      </c>
      <c r="G20">
        <v>684</v>
      </c>
    </row>
    <row r="21" spans="1:7" x14ac:dyDescent="0.2">
      <c r="A21" s="12">
        <v>41478</v>
      </c>
      <c r="B21" t="s">
        <v>40</v>
      </c>
      <c r="C21">
        <v>29.42</v>
      </c>
      <c r="D21">
        <v>22.04</v>
      </c>
      <c r="E21" s="13">
        <v>5.5636574074074074E-2</v>
      </c>
      <c r="G21">
        <v>175</v>
      </c>
    </row>
    <row r="22" spans="1:7" x14ac:dyDescent="0.2">
      <c r="A22" s="12">
        <v>41479</v>
      </c>
      <c r="B22" t="s">
        <v>120</v>
      </c>
      <c r="C22">
        <v>47.18</v>
      </c>
      <c r="D22">
        <v>22.72</v>
      </c>
      <c r="E22" s="13">
        <v>8.6504629629629626E-2</v>
      </c>
      <c r="G22">
        <v>228</v>
      </c>
    </row>
    <row r="23" spans="1:7" x14ac:dyDescent="0.2">
      <c r="A23" t="s">
        <v>121</v>
      </c>
      <c r="C23">
        <v>12.39</v>
      </c>
      <c r="D23">
        <v>19.47</v>
      </c>
      <c r="E23" s="13">
        <v>2.6631944444444444E-2</v>
      </c>
      <c r="G23">
        <v>407</v>
      </c>
    </row>
    <row r="24" spans="1:7" x14ac:dyDescent="0.2">
      <c r="A24" t="s">
        <v>121</v>
      </c>
      <c r="B24" t="s">
        <v>122</v>
      </c>
      <c r="C24">
        <v>86.03</v>
      </c>
      <c r="D24">
        <v>21.52</v>
      </c>
      <c r="E24" s="13">
        <v>0.16652777777777777</v>
      </c>
      <c r="G24">
        <v>584</v>
      </c>
    </row>
    <row r="25" spans="1:7" x14ac:dyDescent="0.2">
      <c r="A25" s="12">
        <v>41482</v>
      </c>
      <c r="B25" t="s">
        <v>122</v>
      </c>
      <c r="C25">
        <v>64.52</v>
      </c>
      <c r="D25">
        <v>21.87</v>
      </c>
      <c r="E25" s="17">
        <v>0.12304398148148148</v>
      </c>
      <c r="G25">
        <v>475</v>
      </c>
    </row>
    <row r="26" spans="1:7" x14ac:dyDescent="0.2">
      <c r="A26" t="s">
        <v>121</v>
      </c>
      <c r="B26" t="s">
        <v>122</v>
      </c>
      <c r="C26">
        <v>34.04</v>
      </c>
      <c r="D26">
        <v>18.36</v>
      </c>
      <c r="E26" s="13">
        <v>7.7256944444444434E-2</v>
      </c>
      <c r="G26">
        <v>305</v>
      </c>
    </row>
    <row r="27" spans="1:7" x14ac:dyDescent="0.2">
      <c r="A27" t="s">
        <v>121</v>
      </c>
      <c r="B27" t="s">
        <v>122</v>
      </c>
      <c r="C27">
        <v>32.92</v>
      </c>
      <c r="D27">
        <v>20.21</v>
      </c>
      <c r="E27" s="13">
        <v>6.7858796296296306E-2</v>
      </c>
      <c r="G27">
        <v>276</v>
      </c>
    </row>
    <row r="28" spans="1:7" x14ac:dyDescent="0.2">
      <c r="A28" s="12">
        <v>41501</v>
      </c>
      <c r="B28" t="s">
        <v>123</v>
      </c>
      <c r="C28">
        <v>32.25</v>
      </c>
      <c r="D28">
        <v>21.51</v>
      </c>
      <c r="E28" s="13">
        <v>6.2476851851851846E-2</v>
      </c>
      <c r="G28">
        <v>282</v>
      </c>
    </row>
    <row r="29" spans="1:7" x14ac:dyDescent="0.2">
      <c r="A29" t="s">
        <v>121</v>
      </c>
      <c r="B29" t="s">
        <v>122</v>
      </c>
      <c r="C29">
        <v>33.54</v>
      </c>
      <c r="D29">
        <v>15.17</v>
      </c>
      <c r="E29" s="13">
        <v>9.2013888888888895E-2</v>
      </c>
      <c r="G29">
        <v>723</v>
      </c>
    </row>
    <row r="30" spans="1:7" x14ac:dyDescent="0.2">
      <c r="A30" s="12">
        <v>41552</v>
      </c>
      <c r="B30" t="s">
        <v>124</v>
      </c>
      <c r="C30">
        <v>35.26</v>
      </c>
      <c r="D30">
        <v>17.82</v>
      </c>
      <c r="E30" s="13">
        <v>8.245370370370371E-2</v>
      </c>
      <c r="G30">
        <v>1028</v>
      </c>
    </row>
    <row r="31" spans="1:7" x14ac:dyDescent="0.2">
      <c r="A31" t="s">
        <v>121</v>
      </c>
      <c r="B31" t="s">
        <v>122</v>
      </c>
      <c r="C31">
        <v>58.7</v>
      </c>
      <c r="D31">
        <v>20.77</v>
      </c>
      <c r="E31" s="13">
        <v>0.11773148148148148</v>
      </c>
      <c r="G31">
        <v>530</v>
      </c>
    </row>
    <row r="32" spans="1:7" x14ac:dyDescent="0.2">
      <c r="A32" t="s">
        <v>121</v>
      </c>
      <c r="B32" t="s">
        <v>122</v>
      </c>
      <c r="C32">
        <v>23.31</v>
      </c>
      <c r="D32">
        <v>18.7</v>
      </c>
      <c r="E32" s="13">
        <v>5.1944444444444439E-2</v>
      </c>
      <c r="G32">
        <v>232</v>
      </c>
    </row>
    <row r="33" spans="1:7" x14ac:dyDescent="0.2">
      <c r="A33" s="12">
        <v>41583</v>
      </c>
      <c r="B33" t="s">
        <v>7</v>
      </c>
      <c r="C33">
        <v>12.36</v>
      </c>
      <c r="D33">
        <v>16.78</v>
      </c>
      <c r="E33" s="13">
        <v>3.0682870370370371E-2</v>
      </c>
      <c r="G33">
        <v>131</v>
      </c>
    </row>
    <row r="34" spans="1:7" x14ac:dyDescent="0.2">
      <c r="A34" s="12">
        <v>41586</v>
      </c>
      <c r="B34" t="s">
        <v>7</v>
      </c>
      <c r="C34">
        <v>12.12</v>
      </c>
      <c r="D34">
        <v>17.489999999999998</v>
      </c>
      <c r="E34" s="13">
        <v>2.8865740740740744E-2</v>
      </c>
      <c r="G34">
        <v>119</v>
      </c>
    </row>
    <row r="35" spans="1:7" x14ac:dyDescent="0.2">
      <c r="B35" t="s">
        <v>90</v>
      </c>
      <c r="C35" t="s">
        <v>125</v>
      </c>
      <c r="D35">
        <v>19.95</v>
      </c>
      <c r="E35" s="16">
        <v>1.5170833333333331</v>
      </c>
      <c r="G35">
        <v>3704</v>
      </c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50"/>
  <sheetViews>
    <sheetView topLeftCell="A23" workbookViewId="0">
      <selection activeCell="B89" sqref="B89"/>
    </sheetView>
  </sheetViews>
  <sheetFormatPr defaultRowHeight="12.75" x14ac:dyDescent="0.2"/>
  <cols>
    <col min="1" max="1" width="10.140625" bestFit="1" customWidth="1"/>
    <col min="2" max="2" width="171.140625" bestFit="1" customWidth="1"/>
    <col min="3" max="3" width="7" bestFit="1" customWidth="1"/>
    <col min="4" max="4" width="6" bestFit="1" customWidth="1"/>
    <col min="5" max="5" width="7.140625" bestFit="1" customWidth="1"/>
    <col min="6" max="6" width="10.28515625" bestFit="1" customWidth="1"/>
  </cols>
  <sheetData>
    <row r="1" spans="1:5" x14ac:dyDescent="0.2">
      <c r="A1" s="12">
        <v>40969</v>
      </c>
      <c r="B1" t="s">
        <v>7</v>
      </c>
      <c r="C1">
        <v>32.869999999999997</v>
      </c>
      <c r="D1">
        <v>21.33</v>
      </c>
      <c r="E1" s="13">
        <v>6.4212962962962958E-2</v>
      </c>
    </row>
    <row r="2" spans="1:5" x14ac:dyDescent="0.2">
      <c r="A2" s="12">
        <v>40973</v>
      </c>
      <c r="B2" t="s">
        <v>7</v>
      </c>
      <c r="C2">
        <v>32.46</v>
      </c>
      <c r="D2">
        <v>23.75</v>
      </c>
      <c r="E2" s="13">
        <v>5.6956018518518524E-2</v>
      </c>
    </row>
    <row r="3" spans="1:5" x14ac:dyDescent="0.2">
      <c r="A3" s="12">
        <v>40976</v>
      </c>
      <c r="B3" t="s">
        <v>8</v>
      </c>
      <c r="C3">
        <v>23.52</v>
      </c>
      <c r="D3">
        <v>24.36</v>
      </c>
      <c r="E3" s="13">
        <v>4.024305555555556E-2</v>
      </c>
    </row>
    <row r="4" spans="1:5" x14ac:dyDescent="0.2">
      <c r="A4" s="12">
        <v>40984</v>
      </c>
      <c r="B4" t="s">
        <v>9</v>
      </c>
      <c r="C4">
        <v>36.51</v>
      </c>
      <c r="D4">
        <v>23.78</v>
      </c>
      <c r="E4" s="13">
        <v>6.3969907407407406E-2</v>
      </c>
    </row>
    <row r="5" spans="1:5" x14ac:dyDescent="0.2">
      <c r="A5" s="12">
        <v>40986</v>
      </c>
      <c r="B5" t="s">
        <v>10</v>
      </c>
      <c r="C5">
        <v>24.27</v>
      </c>
      <c r="D5">
        <v>14.51</v>
      </c>
      <c r="E5" s="13">
        <v>6.9699074074074066E-2</v>
      </c>
    </row>
    <row r="6" spans="1:5" x14ac:dyDescent="0.2">
      <c r="A6" s="12">
        <v>40994</v>
      </c>
      <c r="B6" t="s">
        <v>11</v>
      </c>
      <c r="C6">
        <v>52.63</v>
      </c>
      <c r="D6">
        <v>21.33</v>
      </c>
      <c r="E6" s="13">
        <v>6.4212962962962958E-2</v>
      </c>
    </row>
    <row r="7" spans="1:5" x14ac:dyDescent="0.2">
      <c r="A7" s="12">
        <v>40996</v>
      </c>
      <c r="B7" t="s">
        <v>12</v>
      </c>
      <c r="C7">
        <v>53.93</v>
      </c>
      <c r="D7">
        <v>20.88</v>
      </c>
      <c r="E7" s="13">
        <v>0.10068287037037038</v>
      </c>
    </row>
    <row r="8" spans="1:5" x14ac:dyDescent="0.2">
      <c r="A8" s="12">
        <v>41020</v>
      </c>
      <c r="B8" t="s">
        <v>13</v>
      </c>
      <c r="C8">
        <v>17.29</v>
      </c>
      <c r="D8">
        <v>17.91</v>
      </c>
      <c r="E8" s="13">
        <v>4.0208333333333332E-2</v>
      </c>
    </row>
    <row r="9" spans="1:5" x14ac:dyDescent="0.2">
      <c r="A9" s="12">
        <v>41024</v>
      </c>
      <c r="B9" t="s">
        <v>14</v>
      </c>
      <c r="C9">
        <v>52.57</v>
      </c>
      <c r="D9">
        <v>20.97</v>
      </c>
      <c r="E9" s="13">
        <v>0.10443287037037037</v>
      </c>
    </row>
    <row r="10" spans="1:5" x14ac:dyDescent="0.2">
      <c r="A10" s="12">
        <v>41025</v>
      </c>
      <c r="B10" t="s">
        <v>15</v>
      </c>
      <c r="C10">
        <v>61</v>
      </c>
      <c r="D10">
        <v>23.43</v>
      </c>
      <c r="E10" s="13">
        <v>0.10846064814814815</v>
      </c>
    </row>
    <row r="11" spans="1:5" x14ac:dyDescent="0.2">
      <c r="A11" s="12">
        <v>41026</v>
      </c>
      <c r="B11" t="s">
        <v>16</v>
      </c>
      <c r="C11">
        <v>60.16</v>
      </c>
      <c r="D11">
        <v>22.34</v>
      </c>
      <c r="E11" s="13">
        <v>0.11217592592592592</v>
      </c>
    </row>
    <row r="12" spans="1:5" x14ac:dyDescent="0.2">
      <c r="A12" s="12">
        <v>41029</v>
      </c>
      <c r="B12" t="s">
        <v>17</v>
      </c>
      <c r="C12">
        <v>29.21</v>
      </c>
      <c r="D12">
        <v>24.19</v>
      </c>
      <c r="E12" s="13">
        <v>5.0312500000000003E-2</v>
      </c>
    </row>
    <row r="13" spans="1:5" x14ac:dyDescent="0.2">
      <c r="A13" s="12">
        <v>41030</v>
      </c>
      <c r="B13" t="s">
        <v>18</v>
      </c>
      <c r="C13">
        <v>22.89</v>
      </c>
      <c r="D13">
        <v>14.76</v>
      </c>
      <c r="E13" s="13">
        <v>6.4618055555555554E-2</v>
      </c>
    </row>
    <row r="14" spans="1:5" x14ac:dyDescent="0.2">
      <c r="A14" s="12">
        <v>41031</v>
      </c>
      <c r="B14" t="s">
        <v>19</v>
      </c>
      <c r="C14">
        <v>38.549999999999997</v>
      </c>
      <c r="D14">
        <v>22.47</v>
      </c>
      <c r="E14" s="13">
        <v>7.1469907407407399E-2</v>
      </c>
    </row>
    <row r="15" spans="1:5" x14ac:dyDescent="0.2">
      <c r="A15" s="12">
        <v>41033</v>
      </c>
      <c r="B15" t="s">
        <v>20</v>
      </c>
      <c r="C15">
        <v>29.24</v>
      </c>
      <c r="D15">
        <v>24.57</v>
      </c>
      <c r="E15" s="13">
        <v>4.9594907407407407E-2</v>
      </c>
    </row>
    <row r="16" spans="1:5" x14ac:dyDescent="0.2">
      <c r="A16" s="12">
        <v>41038</v>
      </c>
      <c r="B16" t="s">
        <v>21</v>
      </c>
      <c r="C16">
        <v>43.81</v>
      </c>
      <c r="D16">
        <v>24.24</v>
      </c>
      <c r="E16" s="13">
        <v>7.5300925925925924E-2</v>
      </c>
    </row>
    <row r="17" spans="1:5" x14ac:dyDescent="0.2">
      <c r="A17" s="12">
        <v>41039</v>
      </c>
      <c r="B17" t="s">
        <v>22</v>
      </c>
      <c r="C17">
        <v>52.86</v>
      </c>
      <c r="D17">
        <v>23.17</v>
      </c>
      <c r="E17" s="13">
        <v>9.5046296296296295E-2</v>
      </c>
    </row>
    <row r="18" spans="1:5" x14ac:dyDescent="0.2">
      <c r="A18" s="12">
        <v>41048</v>
      </c>
      <c r="B18" t="s">
        <v>23</v>
      </c>
      <c r="C18">
        <v>53.05</v>
      </c>
      <c r="D18">
        <v>18.38</v>
      </c>
      <c r="E18" s="13">
        <v>0.12027777777777778</v>
      </c>
    </row>
    <row r="19" spans="1:5" x14ac:dyDescent="0.2">
      <c r="A19" s="12">
        <v>41052</v>
      </c>
      <c r="B19" t="s">
        <v>24</v>
      </c>
      <c r="C19">
        <v>62.02</v>
      </c>
      <c r="D19">
        <v>23.22</v>
      </c>
      <c r="E19" s="13">
        <v>0.11127314814814815</v>
      </c>
    </row>
    <row r="20" spans="1:5" x14ac:dyDescent="0.2">
      <c r="A20" s="12">
        <v>41040</v>
      </c>
      <c r="B20" t="s">
        <v>25</v>
      </c>
      <c r="C20">
        <v>86.4</v>
      </c>
      <c r="D20">
        <v>24.13</v>
      </c>
      <c r="E20" s="13">
        <v>0.14916666666666667</v>
      </c>
    </row>
    <row r="21" spans="1:5" x14ac:dyDescent="0.2">
      <c r="A21" s="12">
        <v>41055</v>
      </c>
      <c r="B21" t="s">
        <v>26</v>
      </c>
      <c r="C21">
        <v>85.3</v>
      </c>
      <c r="D21">
        <v>20.69</v>
      </c>
      <c r="E21" s="13">
        <v>0.17181712962962961</v>
      </c>
    </row>
    <row r="22" spans="1:5" x14ac:dyDescent="0.2">
      <c r="A22" s="12">
        <v>41069</v>
      </c>
      <c r="B22" t="s">
        <v>27</v>
      </c>
      <c r="C22">
        <v>67.91</v>
      </c>
      <c r="D22">
        <v>22.28</v>
      </c>
      <c r="E22" s="13">
        <v>0.12696759259259258</v>
      </c>
    </row>
    <row r="23" spans="1:5" x14ac:dyDescent="0.2">
      <c r="A23" s="12">
        <v>41070</v>
      </c>
      <c r="B23" t="s">
        <v>28</v>
      </c>
      <c r="C23">
        <v>11.12</v>
      </c>
      <c r="D23">
        <v>22.96</v>
      </c>
      <c r="E23" s="13">
        <v>2.0208333333333335E-2</v>
      </c>
    </row>
    <row r="24" spans="1:5" x14ac:dyDescent="0.2">
      <c r="A24" s="12">
        <v>41082</v>
      </c>
      <c r="B24" t="s">
        <v>29</v>
      </c>
      <c r="C24">
        <v>61.77</v>
      </c>
      <c r="D24">
        <v>23.95</v>
      </c>
      <c r="E24" s="13">
        <v>0.1074537037037037</v>
      </c>
    </row>
    <row r="25" spans="1:5" x14ac:dyDescent="0.2">
      <c r="A25" s="12">
        <v>41083</v>
      </c>
      <c r="B25" t="s">
        <v>30</v>
      </c>
      <c r="C25">
        <v>94.68</v>
      </c>
      <c r="D25">
        <v>24.24</v>
      </c>
      <c r="E25" s="13">
        <v>0.16271990740740741</v>
      </c>
    </row>
    <row r="26" spans="1:5" x14ac:dyDescent="0.2">
      <c r="A26" s="12">
        <v>41091</v>
      </c>
      <c r="B26" t="s">
        <v>44</v>
      </c>
      <c r="C26">
        <v>50.26</v>
      </c>
      <c r="D26">
        <v>14.32</v>
      </c>
      <c r="E26" s="13">
        <v>0.14627314814814815</v>
      </c>
    </row>
    <row r="27" spans="1:5" x14ac:dyDescent="0.2">
      <c r="A27" s="12">
        <v>41092</v>
      </c>
      <c r="B27" t="s">
        <v>45</v>
      </c>
      <c r="C27">
        <v>35.270000000000003</v>
      </c>
      <c r="D27">
        <v>18.03</v>
      </c>
      <c r="E27" s="13">
        <v>8.1516203703703702E-2</v>
      </c>
    </row>
    <row r="28" spans="1:5" x14ac:dyDescent="0.2">
      <c r="A28" s="12">
        <v>41093</v>
      </c>
      <c r="B28" t="s">
        <v>46</v>
      </c>
      <c r="C28">
        <v>41.34</v>
      </c>
      <c r="D28" s="14">
        <v>0.60416666666666663</v>
      </c>
      <c r="E28" s="13">
        <v>0.12042824074074072</v>
      </c>
    </row>
    <row r="29" spans="1:5" x14ac:dyDescent="0.2">
      <c r="A29" s="12">
        <v>41094</v>
      </c>
      <c r="B29" t="s">
        <v>47</v>
      </c>
      <c r="C29">
        <v>37.090000000000003</v>
      </c>
      <c r="D29">
        <v>16.32</v>
      </c>
      <c r="E29" s="13">
        <v>9.46412037037037E-2</v>
      </c>
    </row>
    <row r="30" spans="1:5" x14ac:dyDescent="0.2">
      <c r="A30" s="12">
        <v>41096</v>
      </c>
      <c r="B30" t="s">
        <v>48</v>
      </c>
      <c r="C30">
        <v>20.81</v>
      </c>
      <c r="D30">
        <v>22.68</v>
      </c>
      <c r="E30" s="13">
        <v>3.8240740740740742E-2</v>
      </c>
    </row>
    <row r="31" spans="1:5" x14ac:dyDescent="0.2">
      <c r="A31" s="12">
        <v>41097</v>
      </c>
      <c r="B31" t="s">
        <v>49</v>
      </c>
      <c r="C31">
        <v>11.05</v>
      </c>
      <c r="D31">
        <v>22.07</v>
      </c>
      <c r="E31" s="13">
        <v>2.0891203703703703E-2</v>
      </c>
    </row>
    <row r="32" spans="1:5" x14ac:dyDescent="0.2">
      <c r="A32" s="12">
        <v>41113</v>
      </c>
      <c r="B32" t="s">
        <v>31</v>
      </c>
      <c r="C32">
        <v>64.23</v>
      </c>
      <c r="D32">
        <v>21.34</v>
      </c>
      <c r="E32" s="13">
        <v>0.12539351851851852</v>
      </c>
    </row>
    <row r="33" spans="1:5" x14ac:dyDescent="0.2">
      <c r="A33" s="12">
        <v>41115</v>
      </c>
      <c r="B33" t="s">
        <v>32</v>
      </c>
      <c r="C33">
        <v>14.53</v>
      </c>
      <c r="D33">
        <v>24.76</v>
      </c>
      <c r="E33" s="13">
        <v>2.4467592592592593E-2</v>
      </c>
    </row>
    <row r="34" spans="1:5" x14ac:dyDescent="0.2">
      <c r="A34" s="12">
        <v>41118</v>
      </c>
      <c r="B34" t="s">
        <v>33</v>
      </c>
      <c r="C34">
        <v>101.28</v>
      </c>
      <c r="D34">
        <v>21.29</v>
      </c>
      <c r="E34" s="13">
        <v>0.19813657407407406</v>
      </c>
    </row>
    <row r="35" spans="1:5" x14ac:dyDescent="0.2">
      <c r="A35" s="12">
        <v>41122</v>
      </c>
      <c r="B35" t="s">
        <v>34</v>
      </c>
      <c r="C35">
        <v>71.3</v>
      </c>
      <c r="D35">
        <v>19.079999999999998</v>
      </c>
      <c r="E35" s="13">
        <v>0.15567129629629631</v>
      </c>
    </row>
    <row r="36" spans="1:5" x14ac:dyDescent="0.2">
      <c r="A36" s="12">
        <v>41123</v>
      </c>
      <c r="B36" t="s">
        <v>7</v>
      </c>
      <c r="C36">
        <v>32.15</v>
      </c>
      <c r="D36">
        <v>21.89</v>
      </c>
      <c r="E36" s="13">
        <v>6.1203703703703705E-2</v>
      </c>
    </row>
    <row r="37" spans="1:5" x14ac:dyDescent="0.2">
      <c r="A37" s="12">
        <v>41124</v>
      </c>
      <c r="B37" t="s">
        <v>35</v>
      </c>
      <c r="C37">
        <v>12.71</v>
      </c>
      <c r="D37">
        <v>22.22</v>
      </c>
      <c r="E37" s="13">
        <v>2.3842592592592596E-2</v>
      </c>
    </row>
    <row r="38" spans="1:5" x14ac:dyDescent="0.2">
      <c r="A38" s="12">
        <v>41125</v>
      </c>
      <c r="B38" t="s">
        <v>36</v>
      </c>
      <c r="C38">
        <v>53.39</v>
      </c>
      <c r="D38">
        <v>19.72</v>
      </c>
      <c r="E38" s="13">
        <v>0.11583333333333333</v>
      </c>
    </row>
    <row r="39" spans="1:5" x14ac:dyDescent="0.2">
      <c r="A39" s="12">
        <v>41126</v>
      </c>
      <c r="B39" t="s">
        <v>37</v>
      </c>
      <c r="C39">
        <v>88.69</v>
      </c>
      <c r="D39">
        <v>19.46</v>
      </c>
      <c r="E39" s="13">
        <v>0.18982638888888889</v>
      </c>
    </row>
    <row r="40" spans="1:5" x14ac:dyDescent="0.2">
      <c r="A40" s="12">
        <v>41134</v>
      </c>
      <c r="B40" t="s">
        <v>38</v>
      </c>
      <c r="C40">
        <v>50.17</v>
      </c>
      <c r="D40">
        <v>18.62</v>
      </c>
      <c r="E40" s="13">
        <v>0.11228009259259258</v>
      </c>
    </row>
    <row r="41" spans="1:5" x14ac:dyDescent="0.2">
      <c r="A41" s="12">
        <v>41148</v>
      </c>
      <c r="B41" t="s">
        <v>7</v>
      </c>
      <c r="C41">
        <v>31.75</v>
      </c>
      <c r="D41">
        <v>22.79</v>
      </c>
      <c r="E41" s="13">
        <v>5.8067129629629628E-2</v>
      </c>
    </row>
    <row r="42" spans="1:5" x14ac:dyDescent="0.2">
      <c r="A42" s="12">
        <v>41149</v>
      </c>
      <c r="B42" t="s">
        <v>39</v>
      </c>
      <c r="C42">
        <v>56.43</v>
      </c>
      <c r="D42">
        <v>24.11</v>
      </c>
      <c r="E42" s="13">
        <v>9.7534722222222217E-2</v>
      </c>
    </row>
    <row r="43" spans="1:5" x14ac:dyDescent="0.2">
      <c r="A43" s="12">
        <v>41150</v>
      </c>
      <c r="B43" t="s">
        <v>40</v>
      </c>
      <c r="C43">
        <v>29.51</v>
      </c>
      <c r="D43">
        <v>23.05</v>
      </c>
      <c r="E43" s="13">
        <v>5.3356481481481477E-2</v>
      </c>
    </row>
    <row r="44" spans="1:5" x14ac:dyDescent="0.2">
      <c r="A44" s="12">
        <v>41155</v>
      </c>
      <c r="B44" t="s">
        <v>41</v>
      </c>
      <c r="C44">
        <v>32.090000000000003</v>
      </c>
      <c r="D44">
        <v>20.96</v>
      </c>
      <c r="E44" s="13">
        <v>6.3784722222222215E-2</v>
      </c>
    </row>
    <row r="45" spans="1:5" x14ac:dyDescent="0.2">
      <c r="A45" s="12">
        <v>41156</v>
      </c>
      <c r="B45" t="s">
        <v>41</v>
      </c>
      <c r="C45">
        <v>22.43</v>
      </c>
      <c r="D45">
        <v>18.63</v>
      </c>
      <c r="E45" s="13">
        <v>5.0162037037037033E-2</v>
      </c>
    </row>
    <row r="46" spans="1:5" x14ac:dyDescent="0.2">
      <c r="A46" s="12">
        <v>41156</v>
      </c>
      <c r="B46" t="s">
        <v>7</v>
      </c>
      <c r="C46">
        <v>29.64</v>
      </c>
      <c r="D46">
        <v>21.67</v>
      </c>
      <c r="E46" s="13">
        <v>5.6689814814814811E-2</v>
      </c>
    </row>
    <row r="47" spans="1:5" x14ac:dyDescent="0.2">
      <c r="A47" s="12">
        <v>41161</v>
      </c>
      <c r="B47" t="s">
        <v>42</v>
      </c>
      <c r="C47">
        <v>73.010000000000005</v>
      </c>
      <c r="D47">
        <v>23.69</v>
      </c>
      <c r="E47" s="13">
        <v>0.12665509259259258</v>
      </c>
    </row>
    <row r="48" spans="1:5" x14ac:dyDescent="0.2">
      <c r="A48" s="12">
        <v>41163</v>
      </c>
      <c r="B48" t="s">
        <v>43</v>
      </c>
      <c r="C48">
        <v>75.38</v>
      </c>
      <c r="D48">
        <v>21.76</v>
      </c>
      <c r="E48" s="13">
        <v>0.14434027777777778</v>
      </c>
    </row>
    <row r="50" spans="3:3" x14ac:dyDescent="0.2">
      <c r="C50">
        <f>SUM(C1:C49)</f>
        <v>2220.5300000000002</v>
      </c>
    </row>
  </sheetData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50"/>
  <sheetViews>
    <sheetView workbookViewId="0">
      <selection activeCell="G46" sqref="G46"/>
    </sheetView>
  </sheetViews>
  <sheetFormatPr defaultRowHeight="12.75" x14ac:dyDescent="0.2"/>
  <cols>
    <col min="1" max="1" width="10.140625" bestFit="1" customWidth="1"/>
    <col min="2" max="2" width="193.85546875" bestFit="1" customWidth="1"/>
  </cols>
  <sheetData>
    <row r="1" spans="1:5" x14ac:dyDescent="0.2">
      <c r="A1" s="12">
        <v>40623</v>
      </c>
      <c r="B1" t="s">
        <v>8</v>
      </c>
      <c r="C1">
        <v>23.5</v>
      </c>
      <c r="D1" t="s">
        <v>50</v>
      </c>
      <c r="E1" t="s">
        <v>50</v>
      </c>
    </row>
    <row r="2" spans="1:5" x14ac:dyDescent="0.2">
      <c r="A2" s="12">
        <v>40625</v>
      </c>
      <c r="B2" t="s">
        <v>51</v>
      </c>
      <c r="C2">
        <v>9.5</v>
      </c>
      <c r="D2" t="s">
        <v>50</v>
      </c>
      <c r="E2" t="s">
        <v>50</v>
      </c>
    </row>
    <row r="3" spans="1:5" x14ac:dyDescent="0.2">
      <c r="A3" s="12">
        <v>40626</v>
      </c>
      <c r="B3" t="s">
        <v>8</v>
      </c>
      <c r="C3">
        <v>24.5</v>
      </c>
      <c r="D3" t="s">
        <v>50</v>
      </c>
      <c r="E3" t="s">
        <v>50</v>
      </c>
    </row>
    <row r="4" spans="1:5" x14ac:dyDescent="0.2">
      <c r="A4" s="12">
        <v>40630</v>
      </c>
      <c r="B4" t="s">
        <v>8</v>
      </c>
      <c r="C4">
        <v>22</v>
      </c>
      <c r="D4" t="s">
        <v>50</v>
      </c>
      <c r="E4" t="s">
        <v>50</v>
      </c>
    </row>
    <row r="5" spans="1:5" x14ac:dyDescent="0.2">
      <c r="A5" s="12">
        <v>40634</v>
      </c>
      <c r="B5" t="s">
        <v>8</v>
      </c>
      <c r="C5">
        <v>22.5</v>
      </c>
      <c r="D5" t="s">
        <v>50</v>
      </c>
      <c r="E5" t="s">
        <v>50</v>
      </c>
    </row>
    <row r="6" spans="1:5" x14ac:dyDescent="0.2">
      <c r="A6" s="12">
        <v>40640</v>
      </c>
      <c r="B6" t="s">
        <v>52</v>
      </c>
      <c r="C6">
        <v>28</v>
      </c>
      <c r="D6" t="s">
        <v>50</v>
      </c>
      <c r="E6" t="s">
        <v>50</v>
      </c>
    </row>
    <row r="7" spans="1:5" x14ac:dyDescent="0.2">
      <c r="A7" s="12">
        <v>40649</v>
      </c>
      <c r="B7" t="s">
        <v>53</v>
      </c>
      <c r="C7">
        <v>54</v>
      </c>
      <c r="D7" t="s">
        <v>50</v>
      </c>
      <c r="E7" t="s">
        <v>50</v>
      </c>
    </row>
    <row r="8" spans="1:5" x14ac:dyDescent="0.2">
      <c r="A8" s="12">
        <v>40651</v>
      </c>
      <c r="B8" t="s">
        <v>54</v>
      </c>
      <c r="C8">
        <v>45</v>
      </c>
      <c r="D8" t="s">
        <v>50</v>
      </c>
      <c r="E8" t="s">
        <v>50</v>
      </c>
    </row>
    <row r="9" spans="1:5" x14ac:dyDescent="0.2">
      <c r="A9" s="12">
        <v>40652</v>
      </c>
      <c r="B9" t="s">
        <v>55</v>
      </c>
      <c r="C9">
        <v>41</v>
      </c>
      <c r="D9" t="s">
        <v>50</v>
      </c>
      <c r="E9" t="s">
        <v>50</v>
      </c>
    </row>
    <row r="10" spans="1:5" x14ac:dyDescent="0.2">
      <c r="A10" s="12">
        <v>40660</v>
      </c>
      <c r="B10" t="s">
        <v>56</v>
      </c>
      <c r="C10">
        <v>38</v>
      </c>
      <c r="D10" t="s">
        <v>50</v>
      </c>
      <c r="E10" t="s">
        <v>50</v>
      </c>
    </row>
    <row r="11" spans="1:5" x14ac:dyDescent="0.2">
      <c r="A11" s="12">
        <v>40661</v>
      </c>
      <c r="B11" t="s">
        <v>57</v>
      </c>
      <c r="C11">
        <v>37.5</v>
      </c>
      <c r="D11" t="s">
        <v>50</v>
      </c>
      <c r="E11" t="s">
        <v>50</v>
      </c>
    </row>
    <row r="12" spans="1:5" x14ac:dyDescent="0.2">
      <c r="A12" s="12">
        <v>40662</v>
      </c>
      <c r="B12" t="s">
        <v>58</v>
      </c>
      <c r="C12">
        <v>54.6</v>
      </c>
      <c r="D12" t="s">
        <v>50</v>
      </c>
      <c r="E12" t="s">
        <v>50</v>
      </c>
    </row>
    <row r="13" spans="1:5" x14ac:dyDescent="0.2">
      <c r="A13" s="12">
        <v>40672</v>
      </c>
      <c r="B13" t="s">
        <v>59</v>
      </c>
      <c r="C13">
        <v>73.099999999999994</v>
      </c>
      <c r="D13">
        <v>21.45</v>
      </c>
      <c r="E13" s="13">
        <v>0.14200231481481482</v>
      </c>
    </row>
    <row r="14" spans="1:5" x14ac:dyDescent="0.2">
      <c r="A14" s="12">
        <v>40673</v>
      </c>
      <c r="B14" t="s">
        <v>60</v>
      </c>
      <c r="C14">
        <v>26</v>
      </c>
      <c r="D14">
        <v>19.7</v>
      </c>
      <c r="E14" s="13">
        <v>5.6215277777777774E-2</v>
      </c>
    </row>
    <row r="15" spans="1:5" x14ac:dyDescent="0.2">
      <c r="A15" s="12">
        <v>40674</v>
      </c>
      <c r="B15" t="s">
        <v>61</v>
      </c>
      <c r="C15">
        <v>14.56</v>
      </c>
      <c r="D15" s="32" t="s">
        <v>169</v>
      </c>
      <c r="E15" s="13">
        <v>2.3831018518518519E-2</v>
      </c>
    </row>
    <row r="16" spans="1:5" x14ac:dyDescent="0.2">
      <c r="A16" s="12">
        <v>40679</v>
      </c>
      <c r="B16" t="s">
        <v>62</v>
      </c>
      <c r="C16">
        <v>12.49</v>
      </c>
      <c r="D16">
        <v>19.55</v>
      </c>
      <c r="E16" s="13">
        <v>2.6377314814814815E-2</v>
      </c>
    </row>
    <row r="17" spans="1:5" x14ac:dyDescent="0.2">
      <c r="A17" s="12">
        <v>40680</v>
      </c>
      <c r="B17" t="s">
        <v>63</v>
      </c>
      <c r="C17">
        <v>25.78</v>
      </c>
      <c r="D17">
        <v>21.38</v>
      </c>
      <c r="E17" s="13">
        <v>5.0231481481481481E-2</v>
      </c>
    </row>
    <row r="18" spans="1:5" x14ac:dyDescent="0.2">
      <c r="A18" s="12">
        <v>40681</v>
      </c>
      <c r="B18" t="s">
        <v>64</v>
      </c>
      <c r="C18">
        <v>14.62</v>
      </c>
      <c r="D18" s="32" t="s">
        <v>167</v>
      </c>
      <c r="E18" s="13">
        <v>2.2222222222222223E-2</v>
      </c>
    </row>
    <row r="19" spans="1:5" x14ac:dyDescent="0.2">
      <c r="A19" s="12">
        <v>40687</v>
      </c>
      <c r="B19" t="s">
        <v>65</v>
      </c>
      <c r="C19">
        <v>48.49</v>
      </c>
      <c r="D19">
        <v>20.76</v>
      </c>
      <c r="E19" s="13">
        <v>9.7222222222222224E-2</v>
      </c>
    </row>
    <row r="20" spans="1:5" x14ac:dyDescent="0.2">
      <c r="A20" s="12">
        <v>40689</v>
      </c>
      <c r="B20" t="s">
        <v>66</v>
      </c>
      <c r="C20">
        <v>58.89</v>
      </c>
      <c r="D20">
        <v>21.37</v>
      </c>
      <c r="E20" s="13">
        <v>0.11478009259259259</v>
      </c>
    </row>
    <row r="21" spans="1:5" x14ac:dyDescent="0.2">
      <c r="A21" s="12">
        <v>40690</v>
      </c>
      <c r="B21" t="s">
        <v>67</v>
      </c>
      <c r="C21">
        <v>15.35</v>
      </c>
      <c r="D21">
        <v>20.29</v>
      </c>
      <c r="E21" s="13">
        <v>3.1585648148148147E-2</v>
      </c>
    </row>
    <row r="22" spans="1:5" x14ac:dyDescent="0.2">
      <c r="A22" s="12">
        <v>40693</v>
      </c>
      <c r="B22" t="s">
        <v>68</v>
      </c>
      <c r="C22">
        <v>30.57</v>
      </c>
      <c r="D22">
        <v>20.68</v>
      </c>
      <c r="E22" s="13">
        <v>6.159722222222222E-2</v>
      </c>
    </row>
    <row r="23" spans="1:5" x14ac:dyDescent="0.2">
      <c r="A23" s="12">
        <v>40694</v>
      </c>
      <c r="B23" t="s">
        <v>69</v>
      </c>
      <c r="C23">
        <v>26.45</v>
      </c>
      <c r="D23">
        <v>21.02</v>
      </c>
      <c r="E23" s="13">
        <v>5.2453703703703704E-2</v>
      </c>
    </row>
    <row r="24" spans="1:5" x14ac:dyDescent="0.2">
      <c r="A24" s="12">
        <v>40697</v>
      </c>
      <c r="B24" t="s">
        <v>70</v>
      </c>
      <c r="C24">
        <v>30.16</v>
      </c>
      <c r="D24">
        <v>21.1</v>
      </c>
      <c r="E24" s="13">
        <v>5.9560185185185188E-2</v>
      </c>
    </row>
    <row r="25" spans="1:5" x14ac:dyDescent="0.2">
      <c r="A25" s="12">
        <v>40698</v>
      </c>
      <c r="B25" t="s">
        <v>71</v>
      </c>
      <c r="C25">
        <v>76.14</v>
      </c>
      <c r="D25">
        <v>20.85</v>
      </c>
      <c r="E25" s="13">
        <v>0.15217592592592591</v>
      </c>
    </row>
    <row r="26" spans="1:5" x14ac:dyDescent="0.2">
      <c r="A26" s="12">
        <v>40699</v>
      </c>
      <c r="B26" t="s">
        <v>72</v>
      </c>
      <c r="C26">
        <v>39.72</v>
      </c>
      <c r="D26">
        <v>16.7</v>
      </c>
      <c r="E26" s="13">
        <v>9.9085648148148145E-2</v>
      </c>
    </row>
    <row r="27" spans="1:5" x14ac:dyDescent="0.2">
      <c r="A27" s="12">
        <v>40700</v>
      </c>
      <c r="B27" t="s">
        <v>73</v>
      </c>
      <c r="C27">
        <v>14.64</v>
      </c>
      <c r="D27">
        <v>23.68</v>
      </c>
      <c r="E27" s="13">
        <v>2.5775462962962962E-2</v>
      </c>
    </row>
    <row r="28" spans="1:5" x14ac:dyDescent="0.2">
      <c r="A28" s="12">
        <v>40705</v>
      </c>
      <c r="B28" t="s">
        <v>74</v>
      </c>
      <c r="C28">
        <v>17.989999999999998</v>
      </c>
      <c r="D28">
        <v>22.02</v>
      </c>
      <c r="E28" s="13">
        <v>3.4039351851851855E-2</v>
      </c>
    </row>
    <row r="29" spans="1:5" x14ac:dyDescent="0.2">
      <c r="A29" s="12">
        <v>40707</v>
      </c>
      <c r="B29" t="s">
        <v>70</v>
      </c>
      <c r="C29">
        <v>29.33</v>
      </c>
      <c r="D29">
        <v>23.86</v>
      </c>
      <c r="E29" s="13">
        <v>5.122685185185185E-2</v>
      </c>
    </row>
    <row r="30" spans="1:5" x14ac:dyDescent="0.2">
      <c r="A30" s="12">
        <v>40709</v>
      </c>
      <c r="B30" t="s">
        <v>75</v>
      </c>
      <c r="C30">
        <v>35.479999999999997</v>
      </c>
      <c r="D30">
        <v>19.89</v>
      </c>
      <c r="E30" s="13">
        <v>7.4305555555555555E-2</v>
      </c>
    </row>
    <row r="31" spans="1:5" x14ac:dyDescent="0.2">
      <c r="A31" s="12">
        <v>40710</v>
      </c>
      <c r="B31" t="s">
        <v>82</v>
      </c>
      <c r="C31">
        <v>51.55</v>
      </c>
      <c r="D31">
        <v>22.67</v>
      </c>
      <c r="E31" s="13">
        <v>9.4733796296296302E-2</v>
      </c>
    </row>
    <row r="32" spans="1:5" x14ac:dyDescent="0.2">
      <c r="A32" s="12">
        <v>40714</v>
      </c>
      <c r="B32" t="s">
        <v>76</v>
      </c>
      <c r="C32">
        <v>17.600000000000001</v>
      </c>
      <c r="D32">
        <v>24.08</v>
      </c>
      <c r="E32" s="13">
        <v>3.0462962962962966E-2</v>
      </c>
    </row>
    <row r="33" spans="1:5" x14ac:dyDescent="0.2">
      <c r="A33" s="12">
        <v>40722</v>
      </c>
      <c r="B33" t="s">
        <v>77</v>
      </c>
      <c r="C33">
        <v>47.2</v>
      </c>
    </row>
    <row r="34" spans="1:5" x14ac:dyDescent="0.2">
      <c r="A34" s="12">
        <v>40724</v>
      </c>
      <c r="B34" t="s">
        <v>78</v>
      </c>
      <c r="C34">
        <v>29.3</v>
      </c>
    </row>
    <row r="35" spans="1:5" x14ac:dyDescent="0.2">
      <c r="A35" s="12">
        <v>40726</v>
      </c>
      <c r="B35" t="s">
        <v>83</v>
      </c>
      <c r="C35">
        <v>32.299999999999997</v>
      </c>
    </row>
    <row r="36" spans="1:5" x14ac:dyDescent="0.2">
      <c r="A36" s="12">
        <v>40728</v>
      </c>
      <c r="B36" t="s">
        <v>84</v>
      </c>
      <c r="C36">
        <v>10.199999999999999</v>
      </c>
    </row>
    <row r="37" spans="1:5" x14ac:dyDescent="0.2">
      <c r="A37" s="12">
        <v>40730</v>
      </c>
      <c r="B37" t="s">
        <v>85</v>
      </c>
      <c r="C37">
        <v>22.5</v>
      </c>
    </row>
    <row r="38" spans="1:5" x14ac:dyDescent="0.2">
      <c r="A38" s="12">
        <v>40730</v>
      </c>
      <c r="B38" t="s">
        <v>86</v>
      </c>
      <c r="C38">
        <v>25</v>
      </c>
    </row>
    <row r="39" spans="1:5" x14ac:dyDescent="0.2">
      <c r="A39" s="12">
        <v>40731</v>
      </c>
      <c r="B39" t="s">
        <v>87</v>
      </c>
      <c r="C39">
        <v>31.5</v>
      </c>
    </row>
    <row r="40" spans="1:5" x14ac:dyDescent="0.2">
      <c r="A40" s="12">
        <v>40732</v>
      </c>
      <c r="B40" t="s">
        <v>88</v>
      </c>
      <c r="C40">
        <v>42.4</v>
      </c>
    </row>
    <row r="41" spans="1:5" x14ac:dyDescent="0.2">
      <c r="A41" s="12">
        <v>40732</v>
      </c>
      <c r="B41" t="s">
        <v>89</v>
      </c>
      <c r="C41">
        <v>8</v>
      </c>
    </row>
    <row r="42" spans="1:5" x14ac:dyDescent="0.2">
      <c r="A42" s="12">
        <v>40735</v>
      </c>
      <c r="B42" t="s">
        <v>79</v>
      </c>
      <c r="C42">
        <v>69.83</v>
      </c>
      <c r="D42">
        <v>23.39</v>
      </c>
      <c r="E42" s="13">
        <v>0.124375</v>
      </c>
    </row>
    <row r="43" spans="1:5" x14ac:dyDescent="0.2">
      <c r="A43" s="12">
        <v>40736</v>
      </c>
      <c r="B43" t="s">
        <v>78</v>
      </c>
      <c r="C43">
        <v>31.76</v>
      </c>
      <c r="D43">
        <v>22.4</v>
      </c>
      <c r="E43" s="13">
        <v>5.9074074074074077E-2</v>
      </c>
    </row>
    <row r="44" spans="1:5" x14ac:dyDescent="0.2">
      <c r="A44" s="12">
        <v>40738</v>
      </c>
      <c r="B44" t="s">
        <v>80</v>
      </c>
      <c r="C44">
        <v>79.91</v>
      </c>
      <c r="D44" s="32" t="s">
        <v>168</v>
      </c>
      <c r="E44" s="13">
        <v>0.12912037037037036</v>
      </c>
    </row>
    <row r="45" spans="1:5" x14ac:dyDescent="0.2">
      <c r="A45" s="12">
        <v>40739</v>
      </c>
      <c r="B45" t="s">
        <v>81</v>
      </c>
      <c r="C45">
        <v>48.8</v>
      </c>
      <c r="D45">
        <v>23.18</v>
      </c>
      <c r="E45" s="13">
        <v>8.773148148148148E-2</v>
      </c>
    </row>
    <row r="46" spans="1:5" x14ac:dyDescent="0.2">
      <c r="A46" s="12">
        <v>40799</v>
      </c>
      <c r="B46" t="s">
        <v>8</v>
      </c>
      <c r="C46">
        <v>23.6</v>
      </c>
      <c r="D46">
        <v>23.19</v>
      </c>
      <c r="E46" s="13">
        <v>4.2488425925925923E-2</v>
      </c>
    </row>
    <row r="47" spans="1:5" x14ac:dyDescent="0.2">
      <c r="A47" s="12">
        <v>40807</v>
      </c>
      <c r="B47" t="s">
        <v>80</v>
      </c>
      <c r="C47">
        <v>65.650000000000006</v>
      </c>
      <c r="D47">
        <v>23.64</v>
      </c>
      <c r="E47" s="13">
        <v>0.11569444444444445</v>
      </c>
    </row>
    <row r="48" spans="1:5" x14ac:dyDescent="0.2">
      <c r="A48" s="12">
        <v>40808</v>
      </c>
      <c r="B48" t="s">
        <v>81</v>
      </c>
      <c r="C48">
        <v>63.26</v>
      </c>
      <c r="D48">
        <v>22.37</v>
      </c>
      <c r="E48" s="13">
        <v>0.1178125</v>
      </c>
    </row>
    <row r="50" spans="3:3" x14ac:dyDescent="0.2">
      <c r="C50">
        <f>SUM(C1:C49)</f>
        <v>1690.22</v>
      </c>
    </row>
  </sheetData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10"/>
  <sheetViews>
    <sheetView zoomScaleNormal="100" workbookViewId="0">
      <selection activeCell="T20" sqref="T20"/>
    </sheetView>
  </sheetViews>
  <sheetFormatPr defaultRowHeight="12.75" x14ac:dyDescent="0.2"/>
  <cols>
    <col min="1" max="1" width="21.7109375" bestFit="1" customWidth="1"/>
    <col min="2" max="6" width="9.140625" style="31"/>
    <col min="9" max="9" width="10.140625" bestFit="1" customWidth="1"/>
    <col min="13" max="13" width="9.5703125" bestFit="1" customWidth="1"/>
  </cols>
  <sheetData>
    <row r="1" spans="1:16" ht="13.5" thickBot="1" x14ac:dyDescent="0.25">
      <c r="A1" s="165"/>
      <c r="B1" s="166">
        <v>2013</v>
      </c>
      <c r="C1" s="64">
        <v>2014</v>
      </c>
      <c r="D1" s="64">
        <v>2015</v>
      </c>
      <c r="E1" s="64">
        <v>2016</v>
      </c>
      <c r="F1" s="65">
        <v>2017</v>
      </c>
      <c r="G1" s="65">
        <v>2018</v>
      </c>
      <c r="H1" s="65">
        <v>2019</v>
      </c>
      <c r="I1" s="90">
        <v>2021</v>
      </c>
      <c r="J1" s="90">
        <v>2022</v>
      </c>
      <c r="K1" s="90">
        <v>2023</v>
      </c>
      <c r="L1" s="90" t="s">
        <v>369</v>
      </c>
      <c r="M1" s="90" t="s">
        <v>378</v>
      </c>
      <c r="N1" s="36"/>
      <c r="O1" s="36"/>
      <c r="P1" s="36"/>
    </row>
    <row r="2" spans="1:16" x14ac:dyDescent="0.2">
      <c r="A2" s="167" t="s">
        <v>206</v>
      </c>
      <c r="B2" s="170">
        <v>63.41</v>
      </c>
      <c r="C2" s="171">
        <v>48.29</v>
      </c>
      <c r="D2" s="172">
        <v>71.959999999999994</v>
      </c>
      <c r="E2" s="172">
        <v>80.28</v>
      </c>
      <c r="F2" s="173">
        <v>67.069999999999993</v>
      </c>
      <c r="G2" s="173">
        <v>82.04</v>
      </c>
      <c r="H2" s="173">
        <v>75.599999999999994</v>
      </c>
      <c r="I2" s="173">
        <v>74.16</v>
      </c>
      <c r="J2" s="173">
        <v>73.25</v>
      </c>
      <c r="K2" s="173">
        <v>69.23</v>
      </c>
      <c r="L2" s="578">
        <f>'2024'!D40</f>
        <v>51.93</v>
      </c>
      <c r="M2" s="579">
        <f>'2025'!D41</f>
        <v>58.34</v>
      </c>
      <c r="N2" s="90"/>
      <c r="O2" s="36"/>
      <c r="P2" s="36"/>
    </row>
    <row r="3" spans="1:16" x14ac:dyDescent="0.2">
      <c r="A3" s="168" t="s">
        <v>207</v>
      </c>
      <c r="B3" s="174">
        <v>1385</v>
      </c>
      <c r="C3" s="161">
        <v>1039</v>
      </c>
      <c r="D3" s="160">
        <v>1358</v>
      </c>
      <c r="E3" s="160">
        <v>1428</v>
      </c>
      <c r="F3" s="175">
        <v>1403</v>
      </c>
      <c r="G3" s="175">
        <v>1456</v>
      </c>
      <c r="H3" s="175">
        <v>1363</v>
      </c>
      <c r="I3" s="175">
        <v>1349</v>
      </c>
      <c r="J3" s="175">
        <v>1095</v>
      </c>
      <c r="K3" s="175">
        <v>1643</v>
      </c>
      <c r="L3" s="574">
        <f>'2024'!G40</f>
        <v>1154</v>
      </c>
      <c r="M3" s="580">
        <f>'2025'!G41</f>
        <v>1184</v>
      </c>
      <c r="N3" s="36"/>
      <c r="O3" s="36"/>
      <c r="P3" s="36"/>
    </row>
    <row r="4" spans="1:16" x14ac:dyDescent="0.2">
      <c r="A4" s="168" t="s">
        <v>208</v>
      </c>
      <c r="B4" s="176">
        <v>0.16922453703703702</v>
      </c>
      <c r="C4" s="162">
        <v>0.1449189814814815</v>
      </c>
      <c r="D4" s="163">
        <v>0.18645833333333331</v>
      </c>
      <c r="E4" s="163">
        <v>0.19947916666666665</v>
      </c>
      <c r="F4" s="177">
        <v>0.2053935185185185</v>
      </c>
      <c r="G4" s="177">
        <v>0.19612268518518516</v>
      </c>
      <c r="H4" s="177">
        <v>0.20023148148148148</v>
      </c>
      <c r="I4" s="177">
        <v>0.21129629629629629</v>
      </c>
      <c r="J4" s="177">
        <v>0.19586805555555556</v>
      </c>
      <c r="K4" s="177">
        <v>0.18554398148148146</v>
      </c>
      <c r="L4" s="575">
        <f>'2024'!E40</f>
        <v>0.18028935185185183</v>
      </c>
      <c r="M4" s="573">
        <v>0.18151620370370369</v>
      </c>
    </row>
    <row r="5" spans="1:16" x14ac:dyDescent="0.2">
      <c r="A5" s="168" t="s">
        <v>5</v>
      </c>
      <c r="B5" s="174">
        <v>15.51</v>
      </c>
      <c r="C5" s="161">
        <v>13.88</v>
      </c>
      <c r="D5" s="160">
        <v>16.079999999999998</v>
      </c>
      <c r="E5" s="164">
        <v>16.77</v>
      </c>
      <c r="F5" s="178">
        <v>13.6</v>
      </c>
      <c r="G5" s="178">
        <v>17.43</v>
      </c>
      <c r="H5" s="178">
        <v>15.73</v>
      </c>
      <c r="I5" s="178">
        <v>14.6</v>
      </c>
      <c r="J5" s="178">
        <v>15.4</v>
      </c>
      <c r="K5" s="178">
        <v>15.5</v>
      </c>
      <c r="L5" s="576">
        <f>'2024'!F40</f>
        <v>12.04</v>
      </c>
      <c r="M5" s="581">
        <v>13.4</v>
      </c>
    </row>
    <row r="6" spans="1:16" x14ac:dyDescent="0.2">
      <c r="A6" s="168" t="s">
        <v>209</v>
      </c>
      <c r="B6" s="179">
        <v>10</v>
      </c>
      <c r="C6" s="160">
        <v>15</v>
      </c>
      <c r="D6" s="160">
        <v>12</v>
      </c>
      <c r="E6" s="160">
        <v>17</v>
      </c>
      <c r="F6" s="175">
        <v>19</v>
      </c>
      <c r="G6" s="175">
        <v>9</v>
      </c>
      <c r="H6" s="175">
        <v>20</v>
      </c>
      <c r="I6" s="175">
        <v>12</v>
      </c>
      <c r="J6" s="175">
        <v>15</v>
      </c>
      <c r="K6" s="175">
        <v>12</v>
      </c>
      <c r="L6" s="574">
        <v>10</v>
      </c>
      <c r="M6" s="580">
        <v>7</v>
      </c>
    </row>
    <row r="7" spans="1:16" x14ac:dyDescent="0.2">
      <c r="A7" s="168" t="s">
        <v>368</v>
      </c>
      <c r="B7" s="179">
        <v>19</v>
      </c>
      <c r="C7" s="160">
        <v>23</v>
      </c>
      <c r="D7" s="160">
        <v>25</v>
      </c>
      <c r="E7" s="160">
        <v>32</v>
      </c>
      <c r="F7" s="175">
        <v>24</v>
      </c>
      <c r="G7" s="175">
        <v>18</v>
      </c>
      <c r="H7" s="175">
        <v>29</v>
      </c>
      <c r="I7" s="175">
        <v>32</v>
      </c>
      <c r="J7" s="175">
        <v>35</v>
      </c>
      <c r="K7" s="175">
        <v>19</v>
      </c>
      <c r="L7" s="574">
        <v>25</v>
      </c>
      <c r="M7" s="580">
        <v>18</v>
      </c>
    </row>
    <row r="8" spans="1:16" x14ac:dyDescent="0.2">
      <c r="A8" s="168" t="s">
        <v>210</v>
      </c>
      <c r="B8" s="179">
        <v>43</v>
      </c>
      <c r="C8" s="160">
        <v>46</v>
      </c>
      <c r="D8" s="160">
        <v>42</v>
      </c>
      <c r="E8" s="160">
        <v>57</v>
      </c>
      <c r="F8" s="175">
        <v>57</v>
      </c>
      <c r="G8" s="175">
        <v>45</v>
      </c>
      <c r="H8" s="175">
        <v>62</v>
      </c>
      <c r="I8" s="175">
        <v>44</v>
      </c>
      <c r="J8" s="175">
        <v>59</v>
      </c>
      <c r="K8" s="175">
        <v>50</v>
      </c>
      <c r="L8" s="574">
        <v>69</v>
      </c>
      <c r="M8" s="580">
        <v>93</v>
      </c>
    </row>
    <row r="9" spans="1:16" ht="13.5" thickBot="1" x14ac:dyDescent="0.25">
      <c r="A9" s="169" t="s">
        <v>211</v>
      </c>
      <c r="B9" s="180">
        <v>490</v>
      </c>
      <c r="C9" s="181">
        <v>440</v>
      </c>
      <c r="D9" s="181">
        <v>500</v>
      </c>
      <c r="E9" s="181">
        <v>690</v>
      </c>
      <c r="F9" s="182">
        <v>440</v>
      </c>
      <c r="G9" s="182">
        <v>510</v>
      </c>
      <c r="H9" s="182">
        <v>360</v>
      </c>
      <c r="I9" s="182">
        <v>509</v>
      </c>
      <c r="J9" s="182">
        <v>484</v>
      </c>
      <c r="K9" s="182">
        <v>484</v>
      </c>
      <c r="L9" s="577">
        <v>552</v>
      </c>
      <c r="M9" s="582">
        <v>453</v>
      </c>
    </row>
    <row r="10" spans="1:16" x14ac:dyDescent="0.2">
      <c r="A10" s="553"/>
      <c r="B10" s="554"/>
      <c r="C10" s="554"/>
      <c r="D10" s="554"/>
      <c r="E10" s="554"/>
      <c r="F10" s="554"/>
      <c r="G10" s="554"/>
      <c r="H10" s="554"/>
      <c r="I10" s="554"/>
      <c r="J10" s="554"/>
      <c r="K10" s="554"/>
      <c r="L10" s="554"/>
    </row>
  </sheetData>
  <conditionalFormatting sqref="B2:M2">
    <cfRule type="colorScale" priority="17">
      <colorScale>
        <cfvo type="min"/>
        <cfvo type="max"/>
        <color rgb="FFFFFF00"/>
        <color rgb="FF00B050"/>
      </colorScale>
    </cfRule>
  </conditionalFormatting>
  <conditionalFormatting sqref="B4:M4">
    <cfRule type="colorScale" priority="15">
      <colorScale>
        <cfvo type="min"/>
        <cfvo type="max"/>
        <color rgb="FFFFFF00"/>
        <color rgb="FF00B050"/>
      </colorScale>
    </cfRule>
  </conditionalFormatting>
  <conditionalFormatting sqref="B9:M10">
    <cfRule type="colorScale" priority="14">
      <colorScale>
        <cfvo type="min"/>
        <cfvo type="max"/>
        <color rgb="FFFFFF00"/>
        <color rgb="FF00B050"/>
      </colorScale>
    </cfRule>
  </conditionalFormatting>
  <conditionalFormatting sqref="B3:M3">
    <cfRule type="colorScale" priority="8">
      <colorScale>
        <cfvo type="min"/>
        <cfvo type="percentile" val="50"/>
        <cfvo type="max"/>
        <color rgb="FFFFFF00"/>
        <color rgb="FFFCFCFF"/>
        <color rgb="FF00B050"/>
      </colorScale>
    </cfRule>
  </conditionalFormatting>
  <conditionalFormatting sqref="B5:M5">
    <cfRule type="colorScale" priority="2">
      <colorScale>
        <cfvo type="min"/>
        <cfvo type="max"/>
        <color rgb="FFFF7128"/>
        <color rgb="FF00B050"/>
      </colorScale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3"/>
  <sheetViews>
    <sheetView workbookViewId="0">
      <selection activeCell="V17" sqref="V17"/>
    </sheetView>
  </sheetViews>
  <sheetFormatPr defaultRowHeight="12.75" x14ac:dyDescent="0.2"/>
  <sheetData>
    <row r="1" spans="1:23" x14ac:dyDescent="0.2">
      <c r="A1" t="s">
        <v>92</v>
      </c>
      <c r="B1" s="241">
        <v>2000</v>
      </c>
      <c r="C1" s="241">
        <v>2001</v>
      </c>
      <c r="D1" s="241">
        <v>2002</v>
      </c>
      <c r="E1" s="241">
        <v>2003</v>
      </c>
      <c r="F1" s="241">
        <v>2004</v>
      </c>
      <c r="G1" s="241">
        <v>2005</v>
      </c>
      <c r="H1" s="241">
        <v>2006</v>
      </c>
      <c r="I1" s="241">
        <v>2007</v>
      </c>
      <c r="J1" s="241">
        <v>2008</v>
      </c>
      <c r="K1" s="241">
        <v>2009</v>
      </c>
      <c r="L1" s="241">
        <v>2010</v>
      </c>
      <c r="M1" s="241">
        <v>2011</v>
      </c>
      <c r="N1" s="241">
        <v>2012</v>
      </c>
      <c r="O1" s="241">
        <v>2013</v>
      </c>
      <c r="P1" s="241">
        <v>2014</v>
      </c>
      <c r="Q1" s="241">
        <v>2015</v>
      </c>
      <c r="R1" s="241">
        <v>2016</v>
      </c>
      <c r="S1" s="241">
        <v>2017</v>
      </c>
      <c r="T1" s="241">
        <v>2018</v>
      </c>
      <c r="U1" s="241">
        <v>2019</v>
      </c>
      <c r="V1" s="241">
        <v>2020</v>
      </c>
      <c r="W1" s="241">
        <v>2021</v>
      </c>
    </row>
    <row r="2" spans="1:23" x14ac:dyDescent="0.2">
      <c r="A2" t="s">
        <v>2</v>
      </c>
      <c r="B2" s="31"/>
      <c r="C2" s="31"/>
      <c r="D2" s="31"/>
      <c r="E2" s="242">
        <v>6.190972222222222E-2</v>
      </c>
      <c r="F2" s="242">
        <v>5.9108796296296291E-2</v>
      </c>
      <c r="G2" s="242">
        <v>5.7013888888888892E-2</v>
      </c>
      <c r="H2" s="242">
        <v>5.8182870370370371E-2</v>
      </c>
      <c r="I2" s="31"/>
      <c r="J2" s="242">
        <v>6.0162037037037042E-2</v>
      </c>
      <c r="K2" s="242">
        <v>6.2256944444444441E-2</v>
      </c>
      <c r="L2" s="31"/>
      <c r="M2" s="31"/>
      <c r="N2" s="242">
        <v>6.1828703703703712E-2</v>
      </c>
      <c r="O2" s="242">
        <v>6.2719907407407405E-2</v>
      </c>
      <c r="P2" s="242">
        <v>5.710648148148148E-2</v>
      </c>
      <c r="Q2" s="242">
        <v>6.3275462962962964E-2</v>
      </c>
      <c r="R2" s="242">
        <v>6.7986111111111108E-2</v>
      </c>
      <c r="S2" s="31"/>
      <c r="T2" s="242">
        <v>6.2349537037037044E-2</v>
      </c>
      <c r="U2" s="13">
        <v>5.9560185185185188E-2</v>
      </c>
      <c r="V2" s="13">
        <v>6.1377314814814815E-2</v>
      </c>
      <c r="W2" s="13">
        <v>6.2627314814814816E-2</v>
      </c>
    </row>
    <row r="3" spans="1:23" x14ac:dyDescent="0.2">
      <c r="A3" t="s">
        <v>243</v>
      </c>
      <c r="B3" s="31"/>
      <c r="C3" s="31"/>
      <c r="D3" s="31"/>
      <c r="E3" s="31">
        <v>37</v>
      </c>
      <c r="F3" s="31">
        <v>22</v>
      </c>
      <c r="G3" s="31">
        <v>30</v>
      </c>
      <c r="H3" s="31">
        <v>28</v>
      </c>
      <c r="I3" s="31"/>
      <c r="J3" s="31">
        <v>29</v>
      </c>
      <c r="K3" s="31">
        <v>57</v>
      </c>
      <c r="L3" s="31"/>
      <c r="M3" s="31"/>
      <c r="N3" s="31">
        <v>71</v>
      </c>
      <c r="O3" s="31">
        <v>65</v>
      </c>
      <c r="P3" s="31">
        <v>47</v>
      </c>
      <c r="Q3" s="31">
        <v>65</v>
      </c>
      <c r="R3" s="31">
        <v>49</v>
      </c>
      <c r="S3" s="31"/>
      <c r="T3" s="31">
        <v>29</v>
      </c>
      <c r="U3" s="31">
        <v>19</v>
      </c>
      <c r="V3" s="31">
        <v>31</v>
      </c>
      <c r="W3" s="31">
        <v>34</v>
      </c>
    </row>
  </sheetData>
  <conditionalFormatting sqref="A2:W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8740157499999996" bottom="0.78740157499999996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3"/>
  <sheetViews>
    <sheetView workbookViewId="0">
      <selection activeCell="L4" sqref="L4"/>
    </sheetView>
  </sheetViews>
  <sheetFormatPr defaultRowHeight="12.75" x14ac:dyDescent="0.2"/>
  <cols>
    <col min="1" max="1" width="22.28515625" bestFit="1" customWidth="1"/>
    <col min="2" max="2" width="10.7109375" bestFit="1" customWidth="1"/>
    <col min="3" max="3" width="11.7109375" bestFit="1" customWidth="1"/>
    <col min="4" max="4" width="13.140625" bestFit="1" customWidth="1"/>
    <col min="5" max="5" width="11.42578125" bestFit="1" customWidth="1"/>
    <col min="6" max="6" width="8.28515625" bestFit="1" customWidth="1"/>
    <col min="7" max="7" width="12.28515625" bestFit="1" customWidth="1"/>
    <col min="8" max="8" width="12.42578125" bestFit="1" customWidth="1"/>
    <col min="9" max="9" width="11.85546875" bestFit="1" customWidth="1"/>
    <col min="10" max="10" width="9.28515625" bestFit="1" customWidth="1"/>
    <col min="11" max="11" width="10.7109375" bestFit="1" customWidth="1"/>
    <col min="12" max="12" width="12.7109375" bestFit="1" customWidth="1"/>
  </cols>
  <sheetData>
    <row r="1" spans="1:12" x14ac:dyDescent="0.2">
      <c r="A1" s="15"/>
      <c r="B1" s="199" t="s">
        <v>302</v>
      </c>
      <c r="C1" s="199" t="s">
        <v>303</v>
      </c>
      <c r="D1" s="199" t="s">
        <v>304</v>
      </c>
      <c r="E1" s="199" t="s">
        <v>305</v>
      </c>
      <c r="F1" s="199" t="s">
        <v>306</v>
      </c>
      <c r="G1" s="199" t="s">
        <v>307</v>
      </c>
      <c r="H1" s="277" t="s">
        <v>308</v>
      </c>
      <c r="I1" s="277" t="s">
        <v>309</v>
      </c>
      <c r="J1" s="277" t="s">
        <v>310</v>
      </c>
      <c r="K1" s="277" t="s">
        <v>311</v>
      </c>
      <c r="L1" s="277" t="s">
        <v>377</v>
      </c>
    </row>
    <row r="2" spans="1:12" x14ac:dyDescent="0.2">
      <c r="A2" s="200" t="s">
        <v>232</v>
      </c>
      <c r="B2" s="198">
        <v>5</v>
      </c>
      <c r="C2" s="198">
        <v>4</v>
      </c>
      <c r="D2" s="198">
        <v>5</v>
      </c>
      <c r="E2" s="198">
        <v>4</v>
      </c>
      <c r="F2" s="198">
        <v>4</v>
      </c>
      <c r="G2" s="198">
        <v>4</v>
      </c>
      <c r="H2" s="276">
        <v>3</v>
      </c>
      <c r="I2" s="276">
        <v>4</v>
      </c>
      <c r="J2" s="276">
        <v>4</v>
      </c>
      <c r="K2" s="276">
        <v>4</v>
      </c>
      <c r="L2" s="276">
        <v>3</v>
      </c>
    </row>
    <row r="3" spans="1:12" x14ac:dyDescent="0.2">
      <c r="A3" s="200" t="s">
        <v>229</v>
      </c>
      <c r="B3" s="198">
        <f>SUM('2013'!C16:C20)</f>
        <v>384.87</v>
      </c>
      <c r="C3" s="198">
        <f>SUM('2014'!B26:B29)</f>
        <v>425.58000000000004</v>
      </c>
      <c r="D3" s="198">
        <v>495.5</v>
      </c>
      <c r="E3" s="198">
        <v>330.69</v>
      </c>
      <c r="F3" s="198">
        <f>SUM('2018'!D45:D49)-29.51</f>
        <v>392.68</v>
      </c>
      <c r="G3" s="198">
        <v>405.74</v>
      </c>
      <c r="H3" s="202">
        <f>SUM('2020'!D49:D51)</f>
        <v>228.73</v>
      </c>
      <c r="I3" s="292">
        <v>322.24</v>
      </c>
      <c r="J3" s="292">
        <v>330.5</v>
      </c>
      <c r="K3" s="292">
        <v>336.47</v>
      </c>
      <c r="L3" s="292">
        <v>210.93</v>
      </c>
    </row>
    <row r="4" spans="1:12" x14ac:dyDescent="0.2">
      <c r="A4" s="200" t="s">
        <v>230</v>
      </c>
      <c r="B4" s="198">
        <f>SUM('2013'!G16:G20)</f>
        <v>2189</v>
      </c>
      <c r="C4" s="198">
        <f>SUM('2014'!E26:E29)</f>
        <v>2796</v>
      </c>
      <c r="D4" s="198">
        <v>5073</v>
      </c>
      <c r="E4" s="198">
        <f>SUM('2017'!G32:G35)</f>
        <v>4865</v>
      </c>
      <c r="F4" s="198">
        <f>SUM('2018'!G45:G49)-213</f>
        <v>5451</v>
      </c>
      <c r="G4" s="198">
        <v>5084</v>
      </c>
      <c r="H4" s="198">
        <f>SUM('2020'!G49:G51)</f>
        <v>4999</v>
      </c>
      <c r="I4" s="198">
        <v>4642</v>
      </c>
      <c r="J4" s="198">
        <v>5527</v>
      </c>
      <c r="K4" s="198">
        <v>5066</v>
      </c>
      <c r="L4" s="198">
        <v>1379</v>
      </c>
    </row>
    <row r="5" spans="1:12" x14ac:dyDescent="0.2">
      <c r="A5" s="200" t="s">
        <v>231</v>
      </c>
      <c r="B5" s="201">
        <f>SUM('2013'!E16:E20)</f>
        <v>0.89115740740740734</v>
      </c>
      <c r="C5" s="201">
        <f>SUM('2014'!C26:C29)</f>
        <v>0.87217592592592585</v>
      </c>
      <c r="D5" s="201">
        <v>1.1873958333333332</v>
      </c>
      <c r="E5" s="201">
        <f>SUM('2017'!E32:E35)</f>
        <v>0.86175925925925934</v>
      </c>
      <c r="F5" s="201">
        <v>1.0265856481481481</v>
      </c>
      <c r="G5" s="201">
        <v>1.0764814814814814</v>
      </c>
      <c r="H5" s="201">
        <f>SUM('2020'!E49:E51)</f>
        <v>0.71343749999999995</v>
      </c>
      <c r="I5" s="293">
        <v>0.92604166666666676</v>
      </c>
      <c r="J5" s="346">
        <v>0.93144675925925924</v>
      </c>
      <c r="K5" s="346">
        <v>0.92340277777777768</v>
      </c>
      <c r="L5" s="10">
        <v>0.48680555555555555</v>
      </c>
    </row>
    <row r="6" spans="1:12" x14ac:dyDescent="0.2">
      <c r="A6" s="200" t="s">
        <v>3</v>
      </c>
      <c r="B6" s="202">
        <f>AVERAGE('2013'!D16:D20)</f>
        <v>17.982000000000003</v>
      </c>
      <c r="C6" s="202">
        <f>AVERAGE('2014'!D26:D29)</f>
        <v>20.247500000000002</v>
      </c>
      <c r="D6" s="202">
        <f>AVERAGE('2016'!F31:F36)</f>
        <v>16.673333333333336</v>
      </c>
      <c r="E6" s="202">
        <f>AVERAGE('2017'!F32:F35)</f>
        <v>15.765000000000001</v>
      </c>
      <c r="F6" s="202">
        <f>AVERAGE('2018'!F46:F49)</f>
        <v>15.827499999999999</v>
      </c>
      <c r="G6" s="202">
        <v>15.84</v>
      </c>
      <c r="H6" s="202">
        <f>AVERAGE('2020'!F49:F51)</f>
        <v>13.6</v>
      </c>
      <c r="I6" s="198">
        <v>14.52</v>
      </c>
      <c r="J6" s="198">
        <v>14.78</v>
      </c>
      <c r="K6" s="198">
        <v>15.31</v>
      </c>
      <c r="L6" s="2">
        <v>18.02</v>
      </c>
    </row>
    <row r="7" spans="1:12" x14ac:dyDescent="0.2">
      <c r="J7" s="13"/>
      <c r="K7" s="13"/>
      <c r="L7" s="292"/>
    </row>
    <row r="9" spans="1:12" ht="15" x14ac:dyDescent="0.25">
      <c r="A9" s="203" t="s">
        <v>233</v>
      </c>
      <c r="B9" s="199">
        <v>2013</v>
      </c>
      <c r="C9" s="199">
        <v>2014</v>
      </c>
      <c r="D9" s="199">
        <v>2016</v>
      </c>
      <c r="E9" s="199">
        <v>2017</v>
      </c>
      <c r="F9" s="199">
        <v>2018</v>
      </c>
      <c r="G9" s="199">
        <v>2019</v>
      </c>
      <c r="H9" s="92">
        <v>2020</v>
      </c>
      <c r="I9" s="92">
        <v>2021</v>
      </c>
      <c r="J9" s="92">
        <v>2022</v>
      </c>
      <c r="K9" s="92">
        <v>2023</v>
      </c>
      <c r="L9" s="92">
        <v>2024</v>
      </c>
    </row>
    <row r="10" spans="1:12" x14ac:dyDescent="0.2">
      <c r="A10" s="200" t="s">
        <v>232</v>
      </c>
      <c r="B10" s="198">
        <v>5</v>
      </c>
      <c r="C10" s="198">
        <v>4</v>
      </c>
      <c r="D10" s="198">
        <v>5</v>
      </c>
      <c r="E10" s="198">
        <v>4</v>
      </c>
      <c r="F10" s="198">
        <v>4</v>
      </c>
      <c r="G10" s="198">
        <v>4</v>
      </c>
      <c r="H10" s="292">
        <v>3</v>
      </c>
      <c r="I10" s="292">
        <v>4</v>
      </c>
      <c r="J10" s="276">
        <v>4</v>
      </c>
      <c r="K10" s="276">
        <v>4</v>
      </c>
      <c r="L10" s="276">
        <v>3</v>
      </c>
    </row>
    <row r="11" spans="1:12" x14ac:dyDescent="0.2">
      <c r="A11" s="200" t="s">
        <v>293</v>
      </c>
      <c r="B11" s="202">
        <f>B3/B2</f>
        <v>76.974000000000004</v>
      </c>
      <c r="C11" s="202">
        <f t="shared" ref="C11:E11" si="0">C3/C2</f>
        <v>106.39500000000001</v>
      </c>
      <c r="D11" s="202">
        <f t="shared" si="0"/>
        <v>99.1</v>
      </c>
      <c r="E11" s="202">
        <f t="shared" si="0"/>
        <v>82.672499999999999</v>
      </c>
      <c r="F11" s="202">
        <f t="shared" ref="F11:K11" si="1">F3/F2</f>
        <v>98.17</v>
      </c>
      <c r="G11" s="202">
        <f t="shared" si="1"/>
        <v>101.435</v>
      </c>
      <c r="H11" s="202">
        <f t="shared" si="1"/>
        <v>76.243333333333325</v>
      </c>
      <c r="I11" s="202">
        <f t="shared" si="1"/>
        <v>80.56</v>
      </c>
      <c r="J11" s="202">
        <f t="shared" si="1"/>
        <v>82.625</v>
      </c>
      <c r="K11" s="202">
        <f t="shared" si="1"/>
        <v>84.117500000000007</v>
      </c>
      <c r="L11" s="202">
        <f>L3/L2</f>
        <v>70.31</v>
      </c>
    </row>
    <row r="12" spans="1:12" x14ac:dyDescent="0.2">
      <c r="A12" s="200" t="s">
        <v>230</v>
      </c>
      <c r="B12" s="202">
        <f>B4/B$2</f>
        <v>437.8</v>
      </c>
      <c r="C12" s="202">
        <f t="shared" ref="C12:E12" si="2">C4/C$2</f>
        <v>699</v>
      </c>
      <c r="D12" s="202">
        <f t="shared" si="2"/>
        <v>1014.6</v>
      </c>
      <c r="E12" s="202">
        <f t="shared" si="2"/>
        <v>1216.25</v>
      </c>
      <c r="F12" s="202">
        <f t="shared" ref="F12:K12" si="3">F4/F$2</f>
        <v>1362.75</v>
      </c>
      <c r="G12" s="202">
        <f t="shared" si="3"/>
        <v>1271</v>
      </c>
      <c r="H12" s="202">
        <f t="shared" si="3"/>
        <v>1666.3333333333333</v>
      </c>
      <c r="I12" s="202">
        <f t="shared" si="3"/>
        <v>1160.5</v>
      </c>
      <c r="J12" s="202">
        <f t="shared" si="3"/>
        <v>1381.75</v>
      </c>
      <c r="K12" s="202">
        <f t="shared" si="3"/>
        <v>1266.5</v>
      </c>
      <c r="L12" s="202">
        <f>L4/L$2</f>
        <v>459.66666666666669</v>
      </c>
    </row>
    <row r="13" spans="1:12" x14ac:dyDescent="0.2">
      <c r="A13" s="200" t="s">
        <v>231</v>
      </c>
      <c r="B13" s="201">
        <f>B5/B$2</f>
        <v>0.17823148148148146</v>
      </c>
      <c r="C13" s="201">
        <f t="shared" ref="C13:F13" si="4">C5/C$2</f>
        <v>0.21804398148148146</v>
      </c>
      <c r="D13" s="201">
        <f t="shared" si="4"/>
        <v>0.23747916666666663</v>
      </c>
      <c r="E13" s="201">
        <f t="shared" si="4"/>
        <v>0.21543981481481483</v>
      </c>
      <c r="F13" s="201">
        <f t="shared" si="4"/>
        <v>0.25664641203703703</v>
      </c>
      <c r="G13" s="201">
        <f>G5/G$2</f>
        <v>0.26912037037037034</v>
      </c>
      <c r="H13" s="201">
        <f>H5/H$2</f>
        <v>0.23781249999999998</v>
      </c>
      <c r="I13" s="201">
        <f>I5/I$2</f>
        <v>0.23151041666666669</v>
      </c>
      <c r="J13" s="201">
        <f>J5/J$2</f>
        <v>0.23286168981481481</v>
      </c>
      <c r="K13" s="201">
        <f>K5/K$2</f>
        <v>0.23085069444444442</v>
      </c>
      <c r="L13" s="201">
        <f>L5/L$2</f>
        <v>0.16226851851851851</v>
      </c>
    </row>
  </sheetData>
  <conditionalFormatting sqref="B3:K3">
    <cfRule type="colorScale" priority="42">
      <colorScale>
        <cfvo type="min"/>
        <cfvo type="max"/>
        <color rgb="FFFCFCFF"/>
        <color rgb="FF63BE7B"/>
      </colorScale>
    </cfRule>
  </conditionalFormatting>
  <conditionalFormatting sqref="B6:L6">
    <cfRule type="colorScale" priority="39">
      <colorScale>
        <cfvo type="min"/>
        <cfvo type="max"/>
        <color rgb="FFFCFCFF"/>
        <color rgb="FF63BE7B"/>
      </colorScale>
    </cfRule>
  </conditionalFormatting>
  <conditionalFormatting sqref="B11:L11">
    <cfRule type="colorScale" priority="38">
      <colorScale>
        <cfvo type="min"/>
        <cfvo type="max"/>
        <color rgb="FFFCFCFF"/>
        <color rgb="FF63BE7B"/>
      </colorScale>
    </cfRule>
  </conditionalFormatting>
  <conditionalFormatting sqref="B12:L12">
    <cfRule type="colorScale" priority="37">
      <colorScale>
        <cfvo type="min"/>
        <cfvo type="max"/>
        <color rgb="FFFCFCFF"/>
        <color rgb="FF63BE7B"/>
      </colorScale>
    </cfRule>
  </conditionalFormatting>
  <conditionalFormatting sqref="B13:L13">
    <cfRule type="colorScale" priority="36">
      <colorScale>
        <cfvo type="min"/>
        <cfvo type="max"/>
        <color rgb="FFFCFCFF"/>
        <color rgb="FF63BE7B"/>
      </colorScale>
    </cfRule>
  </conditionalFormatting>
  <conditionalFormatting sqref="C5:L5">
    <cfRule type="colorScale" priority="22">
      <colorScale>
        <cfvo type="min"/>
        <cfvo type="max"/>
        <color rgb="FFFCFCFF"/>
        <color rgb="FF63BE7B"/>
      </colorScale>
    </cfRule>
  </conditionalFormatting>
  <conditionalFormatting sqref="B4:L4">
    <cfRule type="colorScale" priority="20">
      <colorScale>
        <cfvo type="min"/>
        <cfvo type="max"/>
        <color rgb="FFFCFCFF"/>
        <color rgb="FF63BE7B"/>
      </colorScale>
    </cfRule>
  </conditionalFormatting>
  <conditionalFormatting sqref="L7">
    <cfRule type="colorScale" priority="8">
      <colorScale>
        <cfvo type="min"/>
        <cfvo type="max"/>
        <color rgb="FFFCFCFF"/>
        <color rgb="FF63BE7B"/>
      </colorScale>
    </cfRule>
  </conditionalFormatting>
  <pageMargins left="0.7" right="0.7" top="0.78740157499999996" bottom="0.78740157499999996" header="0.3" footer="0.3"/>
  <pageSetup paperSize="9" orientation="portrait" r:id="rId1"/>
  <ignoredErrors>
    <ignoredError sqref="B3:B4 F3:F6 C3:C6 H3:H6 E4:E6 B5:B6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2E8E-F982-4B17-B48A-41076CD4FF15}">
  <dimension ref="A2:C27"/>
  <sheetViews>
    <sheetView workbookViewId="0">
      <selection activeCell="K28" sqref="K28"/>
    </sheetView>
  </sheetViews>
  <sheetFormatPr defaultRowHeight="12.75" x14ac:dyDescent="0.2"/>
  <cols>
    <col min="1" max="1" width="16.28515625" bestFit="1" customWidth="1"/>
    <col min="2" max="2" width="111.5703125" bestFit="1" customWidth="1"/>
  </cols>
  <sheetData>
    <row r="2" spans="1:2" x14ac:dyDescent="0.2">
      <c r="A2" t="s">
        <v>318</v>
      </c>
      <c r="B2" t="s">
        <v>319</v>
      </c>
    </row>
    <row r="3" spans="1:2" x14ac:dyDescent="0.2">
      <c r="A3" t="s">
        <v>320</v>
      </c>
      <c r="B3" t="s">
        <v>321</v>
      </c>
    </row>
    <row r="5" spans="1:2" x14ac:dyDescent="0.2">
      <c r="A5" s="551" t="s">
        <v>322</v>
      </c>
      <c r="B5" s="552" t="s">
        <v>323</v>
      </c>
    </row>
    <row r="6" spans="1:2" x14ac:dyDescent="0.2">
      <c r="A6" s="551" t="s">
        <v>324</v>
      </c>
      <c r="B6" s="552" t="s">
        <v>325</v>
      </c>
    </row>
    <row r="7" spans="1:2" x14ac:dyDescent="0.2">
      <c r="A7" s="551" t="s">
        <v>326</v>
      </c>
      <c r="B7" s="552" t="s">
        <v>327</v>
      </c>
    </row>
    <row r="8" spans="1:2" x14ac:dyDescent="0.2">
      <c r="A8" s="551" t="s">
        <v>328</v>
      </c>
      <c r="B8" s="552" t="s">
        <v>329</v>
      </c>
    </row>
    <row r="9" spans="1:2" x14ac:dyDescent="0.2">
      <c r="A9" s="551" t="s">
        <v>330</v>
      </c>
      <c r="B9" s="552" t="s">
        <v>331</v>
      </c>
    </row>
    <row r="10" spans="1:2" x14ac:dyDescent="0.2">
      <c r="A10" s="551" t="s">
        <v>332</v>
      </c>
      <c r="B10" s="552" t="s">
        <v>333</v>
      </c>
    </row>
    <row r="11" spans="1:2" x14ac:dyDescent="0.2">
      <c r="A11" s="551" t="s">
        <v>334</v>
      </c>
      <c r="B11" s="552" t="s">
        <v>335</v>
      </c>
    </row>
    <row r="12" spans="1:2" x14ac:dyDescent="0.2">
      <c r="A12" s="551" t="s">
        <v>336</v>
      </c>
      <c r="B12" s="552" t="s">
        <v>337</v>
      </c>
    </row>
    <row r="13" spans="1:2" x14ac:dyDescent="0.2">
      <c r="A13" s="551" t="s">
        <v>338</v>
      </c>
      <c r="B13" s="552" t="s">
        <v>339</v>
      </c>
    </row>
    <row r="14" spans="1:2" x14ac:dyDescent="0.2">
      <c r="A14" s="551" t="s">
        <v>340</v>
      </c>
      <c r="B14" s="552" t="s">
        <v>341</v>
      </c>
    </row>
    <row r="15" spans="1:2" x14ac:dyDescent="0.2">
      <c r="A15" s="551" t="s">
        <v>342</v>
      </c>
      <c r="B15" s="552" t="s">
        <v>343</v>
      </c>
    </row>
    <row r="16" spans="1:2" x14ac:dyDescent="0.2">
      <c r="A16" s="551" t="s">
        <v>344</v>
      </c>
      <c r="B16" s="552" t="s">
        <v>345</v>
      </c>
    </row>
    <row r="17" spans="1:3" x14ac:dyDescent="0.2">
      <c r="A17" s="551" t="s">
        <v>346</v>
      </c>
      <c r="B17" s="552" t="s">
        <v>347</v>
      </c>
    </row>
    <row r="18" spans="1:3" x14ac:dyDescent="0.2">
      <c r="A18" s="551" t="s">
        <v>348</v>
      </c>
      <c r="B18" s="552" t="s">
        <v>349</v>
      </c>
    </row>
    <row r="19" spans="1:3" x14ac:dyDescent="0.2">
      <c r="A19" s="551" t="s">
        <v>350</v>
      </c>
      <c r="B19" s="552" t="s">
        <v>351</v>
      </c>
    </row>
    <row r="20" spans="1:3" x14ac:dyDescent="0.2">
      <c r="A20" s="551" t="s">
        <v>352</v>
      </c>
      <c r="B20" s="552" t="s">
        <v>353</v>
      </c>
    </row>
    <row r="21" spans="1:3" x14ac:dyDescent="0.2">
      <c r="A21" s="551" t="s">
        <v>354</v>
      </c>
      <c r="B21" s="552" t="s">
        <v>355</v>
      </c>
    </row>
    <row r="22" spans="1:3" x14ac:dyDescent="0.2">
      <c r="A22" s="551" t="s">
        <v>356</v>
      </c>
      <c r="B22" s="552" t="s">
        <v>357</v>
      </c>
    </row>
    <row r="23" spans="1:3" x14ac:dyDescent="0.2">
      <c r="A23" s="551" t="s">
        <v>358</v>
      </c>
      <c r="B23" s="552" t="s">
        <v>359</v>
      </c>
    </row>
    <row r="24" spans="1:3" x14ac:dyDescent="0.2">
      <c r="A24" s="551" t="s">
        <v>360</v>
      </c>
      <c r="B24" s="552" t="s">
        <v>361</v>
      </c>
    </row>
    <row r="26" spans="1:3" x14ac:dyDescent="0.2">
      <c r="A26" s="551" t="s">
        <v>362</v>
      </c>
      <c r="B26" s="552" t="s">
        <v>364</v>
      </c>
      <c r="C26">
        <v>399</v>
      </c>
    </row>
    <row r="27" spans="1:3" x14ac:dyDescent="0.2">
      <c r="B27" s="552" t="s">
        <v>363</v>
      </c>
      <c r="C27">
        <v>399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21</vt:i4>
      </vt:variant>
    </vt:vector>
  </HeadingPairs>
  <TitlesOfParts>
    <vt:vector size="21" baseType="lpstr">
      <vt:lpstr>Grafy</vt:lpstr>
      <vt:lpstr>Statistiky</vt:lpstr>
      <vt:lpstr>2025</vt:lpstr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Ztracené kobylky</vt:lpstr>
      <vt:lpstr>Zlaťák</vt:lpstr>
      <vt:lpstr>Srovnání červencových cest</vt:lpstr>
      <vt:lpstr>Moje kolo</vt:lpstr>
    </vt:vector>
  </TitlesOfParts>
  <Company>Univerzita Karlova v Praze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Univerzita Karlova v Praze</dc:creator>
  <cp:lastModifiedBy>Odcházel Tomáš</cp:lastModifiedBy>
  <dcterms:created xsi:type="dcterms:W3CDTF">2014-04-02T08:10:55Z</dcterms:created>
  <dcterms:modified xsi:type="dcterms:W3CDTF">2025-06-25T07:51:26Z</dcterms:modified>
</cp:coreProperties>
</file>